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nier\OneDrive\Bureau\Site\BTS CG\Sujet BTS CG\"/>
    </mc:Choice>
  </mc:AlternateContent>
  <bookViews>
    <workbookView xWindow="0" yWindow="0" windowWidth="12855" windowHeight="3120" firstSheet="4" activeTab="7"/>
  </bookViews>
  <sheets>
    <sheet name="Mission 1A" sheetId="1" r:id="rId1"/>
    <sheet name="Mission 1B" sheetId="2" r:id="rId2"/>
    <sheet name="Mission 2A" sheetId="10" r:id="rId3"/>
    <sheet name="Mission 2B" sheetId="4" r:id="rId4"/>
    <sheet name="Mission 2C" sheetId="11" r:id="rId5"/>
    <sheet name="Mission 3A" sheetId="6" r:id="rId6"/>
    <sheet name="Mission 4A" sheetId="8" r:id="rId7"/>
    <sheet name="Mission 4B" sheetId="12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12" l="1"/>
  <c r="B20" i="12"/>
  <c r="B19" i="12"/>
  <c r="B18" i="12"/>
  <c r="E93" i="6" l="1"/>
  <c r="E92" i="6"/>
  <c r="B69" i="6"/>
  <c r="H31" i="10"/>
  <c r="E61" i="1"/>
  <c r="B27" i="12" l="1"/>
  <c r="B26" i="12"/>
  <c r="B21" i="12"/>
  <c r="C136" i="6"/>
  <c r="E116" i="6"/>
  <c r="B28" i="12" l="1"/>
  <c r="B29" i="12" s="1"/>
  <c r="F94" i="6"/>
  <c r="F85" i="6"/>
  <c r="B70" i="6"/>
  <c r="E75" i="6" s="1"/>
  <c r="F76" i="6" s="1"/>
  <c r="F63" i="6"/>
  <c r="F19" i="6"/>
  <c r="E18" i="6" s="1"/>
  <c r="F8" i="6"/>
  <c r="F27" i="6"/>
  <c r="F38" i="6" s="1"/>
  <c r="E37" i="6" s="1"/>
  <c r="E27" i="6"/>
  <c r="E26" i="6"/>
  <c r="B26" i="6"/>
  <c r="E42" i="4"/>
  <c r="E24" i="4"/>
  <c r="F25" i="4" s="1"/>
  <c r="I10" i="4"/>
  <c r="H15" i="4"/>
  <c r="F8" i="4"/>
  <c r="C39" i="10"/>
  <c r="B40" i="10"/>
  <c r="B39" i="10"/>
  <c r="C37" i="10"/>
  <c r="D37" i="10" s="1"/>
  <c r="C33" i="10"/>
  <c r="C40" i="10" s="1"/>
  <c r="C32" i="10"/>
  <c r="D24" i="10"/>
  <c r="D25" i="10"/>
  <c r="D23" i="10"/>
  <c r="D21" i="10"/>
  <c r="C22" i="10"/>
  <c r="D22" i="10" s="1"/>
  <c r="C23" i="10"/>
  <c r="C24" i="10"/>
  <c r="E24" i="10" s="1"/>
  <c r="E26" i="10" s="1"/>
  <c r="C25" i="10"/>
  <c r="C21" i="10"/>
  <c r="C26" i="10" s="1"/>
  <c r="E27" i="2"/>
  <c r="F12" i="2"/>
  <c r="E11" i="2" s="1"/>
  <c r="D83" i="1"/>
  <c r="C81" i="1"/>
  <c r="E77" i="1"/>
  <c r="E75" i="1"/>
  <c r="C75" i="1"/>
  <c r="B75" i="1"/>
  <c r="F76" i="1"/>
  <c r="E59" i="1"/>
  <c r="F62" i="1" s="1"/>
  <c r="E37" i="1"/>
  <c r="E34" i="1"/>
  <c r="F22" i="1"/>
  <c r="F23" i="1" s="1"/>
  <c r="E24" i="1" s="1"/>
  <c r="F9" i="1"/>
  <c r="E11" i="1" s="1"/>
  <c r="D38" i="10" l="1"/>
  <c r="D41" i="10"/>
  <c r="D40" i="10"/>
  <c r="D39" i="10"/>
  <c r="D26" i="10"/>
  <c r="E35" i="1"/>
  <c r="F38" i="1" s="1"/>
  <c r="F60" i="1"/>
</calcChain>
</file>

<file path=xl/sharedStrings.xml><?xml version="1.0" encoding="utf-8"?>
<sst xmlns="http://schemas.openxmlformats.org/spreadsheetml/2006/main" count="478" uniqueCount="369">
  <si>
    <t>AC</t>
  </si>
  <si>
    <t>TVA déductible ABS</t>
  </si>
  <si>
    <t>D</t>
  </si>
  <si>
    <t>C</t>
  </si>
  <si>
    <t xml:space="preserve">Rappel: </t>
  </si>
  <si>
    <t>Total</t>
  </si>
  <si>
    <t>Salaire de base</t>
  </si>
  <si>
    <t>Salaire de base :</t>
  </si>
  <si>
    <t>Heures majorées 25%</t>
  </si>
  <si>
    <t>Heures majorées 50%</t>
  </si>
  <si>
    <t>Nombre d’heures</t>
  </si>
  <si>
    <t>Taux horaire</t>
  </si>
  <si>
    <t>Salaire brut</t>
  </si>
  <si>
    <t>OD</t>
  </si>
  <si>
    <t>Formations</t>
  </si>
  <si>
    <t>24.04.23</t>
  </si>
  <si>
    <t>BQ</t>
  </si>
  <si>
    <t>Emprunt</t>
  </si>
  <si>
    <t>Banque</t>
  </si>
  <si>
    <t>Opération mécénat</t>
  </si>
  <si>
    <t>Fiscalement, il faut réintégrer au résultat fiscal le montant du don.</t>
  </si>
  <si>
    <t>Si vous avez des difficultés , vous avez le cours correspondant sur la page suivante : https://www.comprendre-la-compta-gestion.com/p1-contr%C3%B4le-et-traitement-comptable  ; dans le chapitre 9</t>
  </si>
  <si>
    <t>(…) (suite du cours sur le site)</t>
  </si>
  <si>
    <t>Si vous avez des difficultés , vous avez le cours correspondant sur la page suivante : https://www.comprendre-la-compta-gestion.com/p1-contr%C3%B4le-et-traitement-comptable  ; dans le chapitre 6</t>
  </si>
  <si>
    <t>Si vous avez des difficultés , vous avez le cours correspondant sur la page suivante : https://www.comprendre-la-compta-gestion.com/p3   ; dans le chapitre 12</t>
  </si>
  <si>
    <t>Certains dons permettent une réduction d’impôt. De ce fait, les dons ne sont en</t>
  </si>
  <si>
    <t>général pas déductibles et doivent faire l’objet d’une réintégration extra-</t>
  </si>
  <si>
    <t>comptable.</t>
  </si>
  <si>
    <t>Réduction d’impôt : la base de calcul de la réduction d'impôt sera plafonnée à</t>
  </si>
  <si>
    <t>20.000 € ou 5 pour mille du CAHT si ce dernier montant est plus élevé. Le</t>
  </si>
  <si>
    <t>taux de la réduction d'impôt est de 60% pour les versements n'excédant pas</t>
  </si>
  <si>
    <t>2 millions € et 40% au-delà. Si cette limite est dépassée au cours d’un exercice,</t>
  </si>
  <si>
    <t>l’excédent est reporté sur les 5 exercices suivants</t>
  </si>
  <si>
    <t>Si vous avez des difficultés , vous avez le cours correspondant sur la page suivante : https://www.comprendre-la-compta-gestion.com/p3   ; dans le chapitre 10</t>
  </si>
  <si>
    <t>Si vous avez des difficultés , vous avez le cours correspondant sur la page suivante : https://www.comprendre-la-compta-gestion.com/p1-contr%C3%B4le-et-traitement-comptable   ; dans le chapitre 10</t>
  </si>
  <si>
    <t>Afin de financer tout ou partie de leurs projets d’investissements, les entreprises se tournent souvent</t>
  </si>
  <si>
    <t>vers les établissements de crédit afin d’emprunter. L’emprunt est traité en 2 phases : l’encaissement</t>
  </si>
  <si>
    <t>du prêt bancaire d’une part, puis les remboursements qui sont échelonnés dans le temps (non demandé).</t>
  </si>
  <si>
    <t>02.12.23</t>
  </si>
  <si>
    <t>VE</t>
  </si>
  <si>
    <t>Palets bretons nature</t>
  </si>
  <si>
    <t>Palets bretons caramel</t>
  </si>
  <si>
    <t>Fars nature</t>
  </si>
  <si>
    <t>Mini Kouign Amann</t>
  </si>
  <si>
    <t>TVA collectée - 5,5%</t>
  </si>
  <si>
    <t>411CMOUE</t>
  </si>
  <si>
    <t>Clients - Hôtel les Mouettes</t>
  </si>
  <si>
    <t>Clients – Dettes pour emballages consignés</t>
  </si>
  <si>
    <t>Document n°2 : il correspond à un devis : document à ne pas comptabiliser</t>
  </si>
  <si>
    <t>Facture n°F245 : Hôtel  les Mouettes</t>
  </si>
  <si>
    <t>10.12.23</t>
  </si>
  <si>
    <t>AV n°AV18 - Moulin du Tregenec</t>
  </si>
  <si>
    <t>Achats de farine</t>
  </si>
  <si>
    <t>TVA déductible ABS - 5,5%</t>
  </si>
  <si>
    <t>401FTREG</t>
  </si>
  <si>
    <t>Frs - Moulin du Tregenec</t>
  </si>
  <si>
    <t>Un retour de marchandise est enregistré dans le compte d'achat.</t>
  </si>
  <si>
    <t>Attention, si c'est une RRR, il faudra utiliser le compte 6091.</t>
  </si>
  <si>
    <t>Si vous avez des difficultés , vous avez le cours correspondant sur la page suivante : https://www.comprendre-la-compta-gestion.com/p1-contr%C3%B4le-et-traitement-comptable  ; dans le chapitre 10</t>
  </si>
  <si>
    <t>Au plan juridique, la consignation est considérée comme un prêt à usage. Il ne s’agit ni d’une</t>
  </si>
  <si>
    <t>servir des emballages pendant un temps limité et doit ensuite les rendre au fournisseur.</t>
  </si>
  <si>
    <t>La consignation est enregistrée au crédit du compte 4196 : Clients, dettes pour emballages</t>
  </si>
  <si>
    <t>consignés ».</t>
  </si>
  <si>
    <t>Le devis est un document sur lequel l’entreprise propose une estimation du prix de la prestation</t>
  </si>
  <si>
    <t>demandée par un client. Quand le client le renvoie signé avec la mention « bon pour accord »,</t>
  </si>
  <si>
    <t>il tient lieu de bon de commande : le client a exprimé son consentement et le processus de vente</t>
  </si>
  <si>
    <t>commence.</t>
  </si>
  <si>
    <t>Il s’agit des coûts directement engagés pour mettre l’actif en place et en état de fonctionner selon</t>
  </si>
  <si>
    <t>l’utilisation prévue par la direction.</t>
  </si>
  <si>
    <t>Exemples :</t>
  </si>
  <si>
    <t>- les frais de préparation de terrain en vue de son exploitation,</t>
  </si>
  <si>
    <t>- les frais préparatoires à la mise en service (transport, installation et montage) seront activés</t>
  </si>
  <si>
    <t>s’ils sont directement attribuables au coût d’acquisition ou de production de l’actif concerné,</t>
  </si>
  <si>
    <t>- la TVA non récupérable par l’entreprise,</t>
  </si>
  <si>
    <t>Coûts directement attribuables :</t>
  </si>
  <si>
    <t xml:space="preserve"> - les coûts liés aux essaies de bon fonctionnement…</t>
  </si>
  <si>
    <t>Selon le règlement ANC n° 2019-09, dorénavant, il est possible, sur option, de comptabiliser soit en</t>
  </si>
  <si>
    <t>charge, soit à l’actif certains frais de formation</t>
  </si>
  <si>
    <r>
      <t xml:space="preserve">Sujet : coût d'acquisition: inscription en charge des frais d'acquisition quand les règles comptables le permettent =&gt; </t>
    </r>
    <r>
      <rPr>
        <b/>
        <sz val="11"/>
        <color rgb="FFFF0000"/>
        <rFont val="Calibri"/>
        <family val="2"/>
        <scheme val="minor"/>
      </rPr>
      <t>formation en charge, option non réalisée</t>
    </r>
  </si>
  <si>
    <t>Machine 2412-AA16</t>
  </si>
  <si>
    <t>TVA déductible sur immo.</t>
  </si>
  <si>
    <t>TVA déductible sur ABS</t>
  </si>
  <si>
    <t>404FMACH</t>
  </si>
  <si>
    <t>Frs immo - MachineS.</t>
  </si>
  <si>
    <t>Le fournisseur a opté pour la TVA sur les débits : TVA exigible</t>
  </si>
  <si>
    <t>(2650+200+150)</t>
  </si>
  <si>
    <t>3000*20%</t>
  </si>
  <si>
    <t>440*20%</t>
  </si>
  <si>
    <t>15.12.23</t>
  </si>
  <si>
    <t>16.12.23</t>
  </si>
  <si>
    <t>Fruits</t>
  </si>
  <si>
    <t>1DKK = 0,1344 €</t>
  </si>
  <si>
    <t>DKK</t>
  </si>
  <si>
    <t>€</t>
  </si>
  <si>
    <t>?</t>
  </si>
  <si>
    <t xml:space="preserve">Calcul : </t>
  </si>
  <si>
    <t>=10 747,35*0,13444/1</t>
  </si>
  <si>
    <t>401ERICS</t>
  </si>
  <si>
    <t>Frs Jensen Ericsen</t>
  </si>
  <si>
    <t>TVA déductible sur autres biens et services – UE</t>
  </si>
  <si>
    <t>TVA due intracommunautaire</t>
  </si>
  <si>
    <t>Fact ° 5678 - Jensen</t>
  </si>
  <si>
    <t>Fact n° : FD 324/23 - Acquisition machine</t>
  </si>
  <si>
    <t>Particularité : acquisitions intracommunautaires : achats effectués dans un pays de l'Union européenne, expédiés ou transportés en France.</t>
  </si>
  <si>
    <r>
      <t xml:space="preserve">Pays concernés : Allemagne, Autriche, Belgique, Bulgarie, Chypre, Croatie, </t>
    </r>
    <r>
      <rPr>
        <b/>
        <sz val="11"/>
        <color theme="1"/>
        <rFont val="Calibri"/>
        <family val="2"/>
        <scheme val="minor"/>
      </rPr>
      <t>Danemark</t>
    </r>
    <r>
      <rPr>
        <sz val="11"/>
        <color theme="1"/>
        <rFont val="Calibri"/>
        <family val="2"/>
        <scheme val="minor"/>
      </rPr>
      <t>…</t>
    </r>
  </si>
  <si>
    <t>28.12.23</t>
  </si>
  <si>
    <t>Perte de change</t>
  </si>
  <si>
    <t>Vérification:</t>
  </si>
  <si>
    <t>Calcul</t>
  </si>
  <si>
    <t xml:space="preserve"> (cohérent)</t>
  </si>
  <si>
    <t>Tous les jours, le cours des monnaies fluctue. Le montant d’une facture d’achat libellé en devise, qu’il</t>
  </si>
  <si>
    <t>faut convertir en euros pour son enregistrement, ne sera pas le même lorsqu’il faudra payer</t>
  </si>
  <si>
    <t>ultérieurement. En effet, à la date du paiement, le cours des monnaies entre elles a certainement</t>
  </si>
  <si>
    <t>changé et l’enregistrement du paiement donnera un montant différent. Parfois, le client y gagne, si le</t>
  </si>
  <si>
    <t>montant à payer est moins élevé qu’à la date d’achat (compte 766 – Gains de change), mais parfois</t>
  </si>
  <si>
    <t>c’est l’inverse, il est perdant (compte 666 – Pertes de change).</t>
  </si>
  <si>
    <t>Attention, le Danemark n'utilise pas l'€. Il faut donc réaliser un calcul de change.</t>
  </si>
  <si>
    <t>Augmentation de capital par incorporation des réserves :</t>
  </si>
  <si>
    <t>Combien la société doit-elle émettre d’actions nouvelles ?</t>
  </si>
  <si>
    <t>Elle doit émettre : 27 500 €/125 = 220 actions nouvelles =&gt; cohérent avec le sujet</t>
  </si>
  <si>
    <t>01.12.23</t>
  </si>
  <si>
    <t>Augmentation de capital par incorporation d’une partie de la réserve facultative</t>
  </si>
  <si>
    <t>Capital social</t>
  </si>
  <si>
    <t>Réserves facultatives</t>
  </si>
  <si>
    <t>Si vous avez des difficultés , vous avez le cours correspondant sur la page suivante : https://www.comprendre-la-compta-gestion.com/p2-contr%C3%B4le-et-production-de-l-info ; dans le chapitre 10</t>
  </si>
  <si>
    <t>Si vous avez des difficultés , vous avez le cours correspondant sur la page suivante : https://www.comprendre-la-compta-gestion.com/p2-contr%C3%B4le-et-production-de-l-info ; dans le chapitre 3</t>
  </si>
  <si>
    <t>Lorsque l’entreprise réalise des bénéfices, l’entreprise a la possibilité de les laisser au sein de celle-ci.</t>
  </si>
  <si>
    <t>une augmentation de capital, en passant une partie de la réserve constituée dans le capital.</t>
  </si>
  <si>
    <t>Il n’y a pas de flux de trésorerie entrant. C’est une écriture interne de compte à compte. À l’issue de</t>
  </si>
  <si>
    <t>cette augmentation, les associés recevront des actions gratuitement. Dans le cas d’une émission d’actions</t>
  </si>
  <si>
    <t>nouvelles, il n’y a pas d’apport donc pas de prix d’émission, mais une valeur d’émission = à la valeur</t>
  </si>
  <si>
    <t>Dans ce cas-là, les bénéfices sont inscrits en réserves. Il est possible, par la suite, de réaliser</t>
  </si>
  <si>
    <t>nominale. Il n’y a donc pas de prime d’émission;</t>
  </si>
  <si>
    <t>**</t>
  </si>
  <si>
    <t xml:space="preserve"> ** Il est possible de passer 2 écritures : 106 à 1013 Capital souscrit – appelé, versé. Et ensuite : le compte 1013 est soldé par le crédit du compte 101 –
Capital.</t>
  </si>
  <si>
    <t xml:space="preserve">Emprunt : </t>
  </si>
  <si>
    <t>Prêt n° 125424</t>
  </si>
  <si>
    <t>Modèle d'écriture pour les mensualités :</t>
  </si>
  <si>
    <t>XX.XX.XXX</t>
  </si>
  <si>
    <t>Intérêt emprunt</t>
  </si>
  <si>
    <t>XX</t>
  </si>
  <si>
    <t>Les heures complémentaires sont les heures de travail accomplies par un salarié à temps partiel</t>
  </si>
  <si>
    <t>au-delà de la durée de travail prévue dans son contrat;</t>
  </si>
  <si>
    <t>Le travail à temps partiel correspond à un travail dont la durée est inférieure à la durée de travail prévue pour le salarié à temps plein.</t>
  </si>
  <si>
    <t xml:space="preserve">De plus, </t>
  </si>
  <si>
    <t>accomplies entre le dixième et le tiers des heures prévues au contrat.</t>
  </si>
  <si>
    <t>Le taux de majoration des HC est de 10% pour chacune des HC dans la limite du dixième</t>
  </si>
  <si>
    <t>La durée mensuelle de travail : 117 heures</t>
  </si>
  <si>
    <t>Vérification :</t>
  </si>
  <si>
    <t>Détail des heures complémentaires :</t>
  </si>
  <si>
    <t>Salaire brut de décembre :</t>
  </si>
  <si>
    <t xml:space="preserve"> Travail hebdomadaire : 27 heures (sujet)</t>
  </si>
  <si>
    <t>27*52/12 = 117 heures</t>
  </si>
  <si>
    <t>Semaine:</t>
  </si>
  <si>
    <t>Nbre d'heures:</t>
  </si>
  <si>
    <t>HC</t>
  </si>
  <si>
    <t>A 10%</t>
  </si>
  <si>
    <t>A 25%</t>
  </si>
  <si>
    <t>au cours d’une même semaine ou d’un même mois ne peut être supérieur au 1/10e de la durée hebdomadaire</t>
  </si>
  <si>
    <t xml:space="preserve"> ou mensuelle de travail prévue dans son contrat, soit 27 × 0,1 = 2,7 heures</t>
  </si>
  <si>
    <t>NB : ne pas prendre l'ancienneté dans le calcul des heures complémentaires</t>
  </si>
  <si>
    <t>Prime d'ancienneté</t>
  </si>
  <si>
    <t>1432,08*2%</t>
  </si>
  <si>
    <t>HC 10%</t>
  </si>
  <si>
    <t>HC 25%</t>
  </si>
  <si>
    <r>
      <rPr>
        <u/>
        <sz val="11"/>
        <color theme="1"/>
        <rFont val="Calibri"/>
        <family val="2"/>
        <scheme val="minor"/>
      </rPr>
      <t xml:space="preserve">Montant prévisionnel brut de la prime d'intéressement </t>
    </r>
    <r>
      <rPr>
        <sz val="11"/>
        <color theme="1"/>
        <rFont val="Calibri"/>
        <family val="2"/>
        <scheme val="minor"/>
      </rPr>
      <t>:</t>
    </r>
  </si>
  <si>
    <t>EBE/CAHT &gt; 5%</t>
  </si>
  <si>
    <t>Résultat comptable &gt; 0</t>
  </si>
  <si>
    <t xml:space="preserve">  =&gt;</t>
  </si>
  <si>
    <t xml:space="preserve">3% de la VA : </t>
  </si>
  <si>
    <t xml:space="preserve">Montant global ne doit pas dépasser 20 % du total des salaires bruts =&gt; </t>
  </si>
  <si>
    <t>La mise en place de l’intéressement est facultative, à l’inverse de la participation, qui est obligatoire dès que l’entreprise atteint 50 salariés. En revanche, sa mise en place doit obligatoirement résulter d’un accord collectif</t>
  </si>
  <si>
    <t xml:space="preserve"> =&gt; 210 000 € (condition validée)</t>
  </si>
  <si>
    <t>(condition validée)</t>
  </si>
  <si>
    <t>359 850 / 5 592 800 = 6,43%</t>
  </si>
  <si>
    <t xml:space="preserve"> 3% * 3 250 000 = 97 500</t>
  </si>
  <si>
    <t>20% * 1 690 000 = 338 000 €</t>
  </si>
  <si>
    <t>97 500 &lt; 338 000 € (condition validée)</t>
  </si>
  <si>
    <t>Pour aller plus loin, comptabilisation :</t>
  </si>
  <si>
    <t>31.12.2023</t>
  </si>
  <si>
    <t>Intéressement</t>
  </si>
  <si>
    <t>4286 - Autres charges de personnel à payer</t>
  </si>
  <si>
    <t>Exonération du forfait social pour les entreprises &lt; 250 salariés.</t>
  </si>
  <si>
    <t>Réponse :</t>
  </si>
  <si>
    <t>Madame,</t>
  </si>
  <si>
    <t>Je reste à votre disposition pour tout renseignement complémentaire.</t>
  </si>
  <si>
    <t>Cordialement.</t>
  </si>
  <si>
    <t>Le Comptable</t>
  </si>
  <si>
    <t>De : comptable@biscuiterie-malo.fr</t>
  </si>
  <si>
    <t>A : jeanne.lebolzc@biscuiterie-malo.fr</t>
  </si>
  <si>
    <t>Le : 04.01.2024</t>
  </si>
  <si>
    <t>Objet : prime d'intéressement de 2023</t>
  </si>
  <si>
    <t>Suite à vos questions sur la possibilité de versement de la prime d'intéressement, nous pouvons vous apporter les réponses suivantes :</t>
  </si>
  <si>
    <t>Les conditions sont respectées pour l'exercice 2023 :</t>
  </si>
  <si>
    <t>Le montant à verser sera de 97 500 €.</t>
  </si>
  <si>
    <t>Actions Célia</t>
  </si>
  <si>
    <t xml:space="preserve">Actions Axi </t>
  </si>
  <si>
    <t>Nbre de titre</t>
  </si>
  <si>
    <t>Prix initial</t>
  </si>
  <si>
    <t>Valeur 31.12</t>
  </si>
  <si>
    <t>Variation</t>
  </si>
  <si>
    <t>Dépréciation</t>
  </si>
  <si>
    <t xml:space="preserve"> -</t>
  </si>
  <si>
    <t>Principe de prudence :</t>
  </si>
  <si>
    <t>Il faut enregistrer en comptabilité tous les éléments probables ou certains susceptibles de diminuer la valeur du patrimoine ou de menacer la situation à venir de l’entreprise. Par contre, les éléments susceptibles d’enrichir l’entreprise ne sont pas pris en compte.</t>
  </si>
  <si>
    <t>Si vous avez des difficultés avec les principes comptables, vous avez le cours correspondant sur la page suivante : https://www.comprendre-la-compta-gestion.com/p2-contr%C3%B4le-et-production-de-l-info ; dans le chapitre 1</t>
  </si>
  <si>
    <t>28.11.2023</t>
  </si>
  <si>
    <t>PCEA</t>
  </si>
  <si>
    <t>d’actif immobilisé deux opérations doivent être enregistrées :</t>
  </si>
  <si>
    <t>-        prix de cession,</t>
  </si>
  <si>
    <t>-       sortie du patrimoine.</t>
  </si>
  <si>
    <t>Avis de crédit n°3022</t>
  </si>
  <si>
    <r>
      <rPr>
        <u/>
        <sz val="11"/>
        <color theme="1"/>
        <rFont val="Calibri"/>
        <family val="2"/>
        <scheme val="minor"/>
      </rPr>
      <t>Cession</t>
    </r>
    <r>
      <rPr>
        <sz val="11"/>
        <color theme="1"/>
        <rFont val="Calibri"/>
        <family val="2"/>
        <scheme val="minor"/>
      </rPr>
      <t>:</t>
    </r>
  </si>
  <si>
    <t>Sortie du patrimoine:</t>
  </si>
  <si>
    <t>VNC</t>
  </si>
  <si>
    <t>Sortie du patrimoine de 25 actions Célia</t>
  </si>
  <si>
    <t>Attention : le règlement N° 2022-06 du 4 novembre 2022 modifie le règlement ANC N° 2014-03 du 5 juin 2014 relatif au plan comptable général.</t>
  </si>
  <si>
    <t>La définition du résultat exceptionnel est modifiée. Il comprend désormais les produits et charges directement liés à un évènement majeur inhabituel. Le résultat exceptionnel est ainsi limité :</t>
  </si>
  <si>
    <t>aux changements de méthode inscrits en résultat</t>
  </si>
  <si>
    <t>aux écritures comptables purement fiscales, comme les amortissements dérogatoires</t>
  </si>
  <si>
    <t>aux corrections d’erreurs.</t>
  </si>
  <si>
    <t>En conséquence, les sorties d’immobilisations ne sont plus inscrites en résultat exceptionnel. Les comptes 675 et 775 sont remplacés par des comptes 657 et 757 pour les immobilisations corporelles et incorporelles.</t>
  </si>
  <si>
    <t>=&gt; Entrée en vigueur à partir du 1er janvier 2025.</t>
  </si>
  <si>
    <t>Dépréciation Actions Axi</t>
  </si>
  <si>
    <t>Dotations aux dépréciations des VMP</t>
  </si>
  <si>
    <t>Dépréciations actions Axi</t>
  </si>
  <si>
    <t>Compte d'attente</t>
  </si>
  <si>
    <t>Créances clients :</t>
  </si>
  <si>
    <t>À la clôture de l’exercice, il convient de dégager parmi l’ensemble des créances clients celles qui sont</t>
  </si>
  <si>
    <t>douteuses et celles qui sont irrécouvrables.</t>
  </si>
  <si>
    <t>Les créances douteuses sont celles dont le recouvrement est douteux. On va estimer qu’un client est</t>
  </si>
  <si>
    <t>douteux en fonction du nombre de jours de retard par rapport au délai accordé. En effet, plus le retard</t>
  </si>
  <si>
    <t>est important, plus il y a des chances que la créance demeure impayée.</t>
  </si>
  <si>
    <t>Les créances irrécouvrables sont des créances définitivement perdues qui par conséquent ne doivent plus</t>
  </si>
  <si>
    <t>figurer à l’actif.</t>
  </si>
  <si>
    <t>créances douteuses, afin de l’isoler et d’en faciliter le suivi.</t>
  </si>
  <si>
    <t>Le premier travail du comptable consiste à transférer cette créance dans un compte de</t>
  </si>
  <si>
    <t>C'est le cas du client Souvenir de Breiz.</t>
  </si>
  <si>
    <t>Créances douteuses</t>
  </si>
  <si>
    <t>411CSOUV</t>
  </si>
  <si>
    <t>Souvenir de Breiz</t>
  </si>
  <si>
    <t>Création de la créance douteuse de S. Breiz</t>
  </si>
  <si>
    <t>Par la suite, il faut constater une dépréciation de la créance d'une valeur de 25% du montant HT.</t>
  </si>
  <si>
    <t>TTC</t>
  </si>
  <si>
    <t>HT</t>
  </si>
  <si>
    <t>Dépréciation 25%</t>
  </si>
  <si>
    <t>681740 Dotations aux dépréciations des créances</t>
  </si>
  <si>
    <t xml:space="preserve">491000 Dépréciations des créances </t>
  </si>
  <si>
    <t>Dépréciation de la créance S. Breiz</t>
  </si>
  <si>
    <t>Enfin, s’il s’avère que le client ne paiera pas tout ou partie de sa créance, la perte devient</t>
  </si>
  <si>
    <t>irrécouvrable. Dans ce cas, il n’y a plus un risque de perte, mais une perte avérée. Le comptable doit</t>
  </si>
  <si>
    <t>donc solder tous les comptes de dépréciations liés à cette créance (puisqu’ils n’ont plus lieu d’être)</t>
  </si>
  <si>
    <t>et enregistrer une perte sur créances irrécouvrables.</t>
  </si>
  <si>
    <t>Le sujet nous informe que le client TeaTime est une créance irrécouvrable depuis le 22.12 (certificat d'irrécouvrabilité)</t>
  </si>
  <si>
    <t>781740 Reprises sur dépréciations des créances</t>
  </si>
  <si>
    <t>Reprise dépréciation de la créance TeaTime</t>
  </si>
  <si>
    <t>Pertes sur créances irré.</t>
  </si>
  <si>
    <t>TVA à décaisser</t>
  </si>
  <si>
    <t>Créance irrécouvrable TeaTime</t>
  </si>
  <si>
    <t>416CTEA</t>
  </si>
  <si>
    <t>416TEAT</t>
  </si>
  <si>
    <t>Si vous avez des difficultés , vous avez le cours correspondant sur la page suivante : https://www.comprendre-la-compta-gestion.com/p2-contr%C3%B4le-et-production-de-l-info ; dans le chapitre 4</t>
  </si>
  <si>
    <t>Opérations diverses :</t>
  </si>
  <si>
    <t>D’après le principe d’indépendance (ou de séparation) des exercices, les comptes d’un exercice</t>
  </si>
  <si>
    <t>doivent comprendre :</t>
  </si>
  <si>
    <t>- tous les produits et charges concernant cet exercice, y compris ceux non encore facturés ;</t>
  </si>
  <si>
    <t>- uniquement les produits et charges concernant cet exercice, en excluant donc les produits et</t>
  </si>
  <si>
    <t>charges déjà enregistrés (car facturés), mais qui intéressent l’exercice suivant.</t>
  </si>
  <si>
    <t>Livraison à la Marie de Morlaix : il faut constater un produit à recevoir : livraison réalisée en 2023 mais facturée en 2024</t>
  </si>
  <si>
    <t>Clients - Factures à établir</t>
  </si>
  <si>
    <t>Kouign Amann</t>
  </si>
  <si>
    <t>Facture à recevoir - Maire de Morlaix</t>
  </si>
  <si>
    <t>À la clôture de l’exercice N, la pièce comptable a été enregistrée, mais la livraison des biens ou la</t>
  </si>
  <si>
    <t>prestation de services doit intervenir en N+1.</t>
  </si>
  <si>
    <t>Exemples : primes d’assurance, abonnements payés d’avance.</t>
  </si>
  <si>
    <r>
      <t>F</t>
    </r>
    <r>
      <rPr>
        <u/>
        <sz val="11"/>
        <color theme="1"/>
        <rFont val="Calibri"/>
        <family val="2"/>
        <scheme val="minor"/>
      </rPr>
      <t>acture de Contexto</t>
    </r>
    <r>
      <rPr>
        <sz val="11"/>
        <color theme="1"/>
        <rFont val="Calibri"/>
        <family val="2"/>
        <scheme val="minor"/>
      </rPr>
      <t xml:space="preserve"> : il faut réaliser une CCA</t>
    </r>
  </si>
  <si>
    <t>CCA</t>
  </si>
  <si>
    <t>Honoraires</t>
  </si>
  <si>
    <t>600*2/3</t>
  </si>
  <si>
    <t>Il faut enlever 2 mois dans l'exercice de 2023.</t>
  </si>
  <si>
    <t>CCA - Contexto - 01.12-&gt;29.02 - Fact n°5678</t>
  </si>
  <si>
    <t>Si vous avez des difficultés , vous avez le cours correspondant sur la page suivante : https://www.comprendre-la-compta-gestion.com/p2-contr%C3%B4le-et-production-de-l-info ; dans le chapitre 12</t>
  </si>
  <si>
    <t>Les comptes courants d’associés peuvent donner lieu à un versement d’intérêts.</t>
  </si>
  <si>
    <t>Si taux du compte &gt;TMPV, la différence est non déductible =&gt; réintégration.</t>
  </si>
  <si>
    <t>entreprises dont la clôture intervient au 31/12/2023 est de 4,65%.</t>
  </si>
  <si>
    <t>La déduction de ces intérêts est limitée au TMPV (taux effectif moyen pratiqué par les établissements de crédit pour des prêts à taux variables). Le TMPV pour les</t>
  </si>
  <si>
    <t>Le don ne doit pas excéder 20 000€ (18 000 € &lt; 20 000 =&gt; ok) ou 5 pour mille du chiffre d’affaires si ce montant est plus élevé (ici : 5 592 800 * 5/1000 = 27 964€).</t>
  </si>
  <si>
    <t xml:space="preserve">La réduction d’impôt serait de 18 000 *60% = 10 800 €, </t>
  </si>
  <si>
    <t>Location :</t>
  </si>
  <si>
    <t>- les dépenses liées à la chasse et à la pêche non professionnelle,</t>
  </si>
  <si>
    <t>- les dépenses d’acquisition, d’entretien, et de location de résidences de</t>
  </si>
  <si>
    <t>plaisances,</t>
  </si>
  <si>
    <t>plaisance à voile et à moteur,</t>
  </si>
  <si>
    <t>Les dépenses somptuaires évoquées  donnent lieu à une réintégration extra-comptable. Les dépenses sont concernées :</t>
  </si>
  <si>
    <t xml:space="preserve"> - les dépenses de toute nature concernant les yachts et les bateaux de</t>
  </si>
  <si>
    <t>Dans notre situation : réintégration 4 880 € (charge non déductible)</t>
  </si>
  <si>
    <t xml:space="preserve">En outre, pour que les intérêts soient déductibles, le capital doit être entièrement libéré </t>
  </si>
  <si>
    <t>Dans notre situation : 3,5% &lt; 4,65%.  De plus le capital est entièrement libéré (annexe A4). Intérêt de 1 750 € déductible fiscalement pour sa totalité.</t>
  </si>
  <si>
    <t>Calcul des 2ers acomptes :</t>
  </si>
  <si>
    <t>Sujet : l'entreprise bénéficie du régime d'imposition de l'IS pour les PME.</t>
  </si>
  <si>
    <t>Taux d'imposition :</t>
  </si>
  <si>
    <t>Jusqu'à 42 500 : taux d'IS de 15%</t>
  </si>
  <si>
    <t>25% pour le reste</t>
  </si>
  <si>
    <t>Pour l'année 2022 :</t>
  </si>
  <si>
    <t>à 15%</t>
  </si>
  <si>
    <t>Dates limites de paiement des 2ers acomptes :</t>
  </si>
  <si>
    <t xml:space="preserve"> - 15.03</t>
  </si>
  <si>
    <t xml:space="preserve"> - 15.06</t>
  </si>
  <si>
    <t xml:space="preserve">Le bénéfice fiscal a été calculé le 20 mars 2024. Le 1er acompte se basera donc sur le résultat fiscal de 2022. </t>
  </si>
  <si>
    <t>à 25%</t>
  </si>
  <si>
    <t>Acompte</t>
  </si>
  <si>
    <t>36 513/4</t>
  </si>
  <si>
    <t>Pour l'année 2023 :</t>
  </si>
  <si>
    <t>Le montant du 2ème acompte 2023 sera de :</t>
  </si>
  <si>
    <t>Les taux réduits concernent les PME qui répondent aux 2 conditions suivantes :</t>
  </si>
  <si>
    <t>- CAHT inférieur à 10 millions €</t>
  </si>
  <si>
    <t>- Capital entièrement reversé et détenu à au moins 75 % par des personnes physiques (ou par</t>
  </si>
  <si>
    <t>une société appliquant ce critère)</t>
  </si>
  <si>
    <t>Le montant des acomptes se calcule hors réduction et crédit d’impôt (mission 4A).</t>
  </si>
  <si>
    <t>Opération : compte courant associés</t>
  </si>
  <si>
    <t>Pour les Titres immobilisés et les Titres de Participation comme pour toute cession d’élément</t>
  </si>
  <si>
    <t>Frais bancaires</t>
  </si>
  <si>
    <t>Pour les 2 opérations suivantes : le principe d’indépendance des exercices - La vie d’une entreprise est découpée en exercices comptables d’une même durée (un an sauf exception). Les opérations doivent être rattachées à l’exercice qui a vu leur apparition, et ce, quelle que soit leur date de règlement.</t>
  </si>
  <si>
    <t>Épargne salariale :</t>
  </si>
  <si>
    <r>
      <rPr>
        <u/>
        <sz val="11"/>
        <color theme="1"/>
        <rFont val="Calibri"/>
        <family val="2"/>
        <scheme val="minor"/>
      </rPr>
      <t>Conditions remplie</t>
    </r>
    <r>
      <rPr>
        <sz val="11"/>
        <color theme="1"/>
        <rFont val="Calibri"/>
        <family val="2"/>
        <scheme val="minor"/>
      </rPr>
      <t>s :</t>
    </r>
  </si>
  <si>
    <t>des heures prévues au contrat de travail et de 25% pour chacune des heures</t>
  </si>
  <si>
    <t xml:space="preserve">À défaut de dispositions conventionnelles spécifiques, le nombre d’heures complémentaires accomplit par un salarié </t>
  </si>
  <si>
    <t>Le prix d’émission est nul, car les actions sont distribuées gratuitement aux actionnaires.</t>
  </si>
  <si>
    <t>vente, car le fournisseur ne reste propriétaire de l’emballage ni d’une location. Le client peut se</t>
  </si>
  <si>
    <t>Ce document est une proposition de corrigé. Il est fourni à titre indicatif proposé par le site www.comprendre-la-compta-gestion.com</t>
  </si>
  <si>
    <t>Titre :</t>
  </si>
  <si>
    <t>Calcul du montant de la prime d'intéressement annuel</t>
  </si>
  <si>
    <t>Variables :</t>
  </si>
  <si>
    <r>
      <t>RC</t>
    </r>
    <r>
      <rPr>
        <sz val="11"/>
        <color theme="1"/>
        <rFont val="Calibri"/>
        <family val="2"/>
        <scheme val="minor"/>
      </rPr>
      <t>: Résultat comptable ; numérique</t>
    </r>
  </si>
  <si>
    <r>
      <rPr>
        <b/>
        <sz val="11"/>
        <color theme="1"/>
        <rFont val="Calibri"/>
        <family val="2"/>
        <scheme val="minor"/>
      </rPr>
      <t>PI:</t>
    </r>
    <r>
      <rPr>
        <sz val="11"/>
        <color theme="1"/>
        <rFont val="Calibri"/>
        <family val="2"/>
        <scheme val="minor"/>
      </rPr>
      <t xml:space="preserve"> Montant total de  la prime d'intéressement ; numérique</t>
    </r>
  </si>
  <si>
    <t>Constantes :</t>
  </si>
  <si>
    <t>Début :</t>
  </si>
  <si>
    <t xml:space="preserve">    Afficher «Entrez_le_résultat_comptable»</t>
  </si>
  <si>
    <r>
      <t>SBA</t>
    </r>
    <r>
      <rPr>
        <sz val="11"/>
        <color theme="1"/>
        <rFont val="Calibri"/>
        <family val="2"/>
        <scheme val="minor"/>
      </rPr>
      <t>: Salaires bruts annuel ; numérique</t>
    </r>
  </si>
  <si>
    <r>
      <t>CA</t>
    </r>
    <r>
      <rPr>
        <sz val="11"/>
        <color theme="1"/>
        <rFont val="Calibri"/>
        <family val="2"/>
        <scheme val="minor"/>
      </rPr>
      <t>: Chiffre d'affaires ; numérique</t>
    </r>
  </si>
  <si>
    <t>Afficher «Entrez_le_chiffre_d'affaires»</t>
  </si>
  <si>
    <t>Saisir CA</t>
  </si>
  <si>
    <t>Saisir RC</t>
  </si>
  <si>
    <t>Saisir SBA</t>
  </si>
  <si>
    <t xml:space="preserve">     Si (RC / CA) * 100 &gt; Taux_minimum ET RC &gt; 0</t>
  </si>
  <si>
    <t xml:space="preserve">        Afficher «Entrez_la_valeur_ajoutée»</t>
  </si>
  <si>
    <t>Saisir VA</t>
  </si>
  <si>
    <t xml:space="preserve">          SINON PI &lt;- 0</t>
  </si>
  <si>
    <t xml:space="preserve">          ALORS  PI &lt;- Tx_VA * VA</t>
  </si>
  <si>
    <t>Fin SI</t>
  </si>
  <si>
    <t xml:space="preserve">       Si PI &gt; (SBA_total * 0,20)</t>
  </si>
  <si>
    <t xml:space="preserve">           ALORS PI &lt;- SBA * 0,20 </t>
  </si>
  <si>
    <t xml:space="preserve">           SINON PI &lt;- Tx_VA * VA</t>
  </si>
  <si>
    <t xml:space="preserve">            Afficher «Entrer_le_salaire_brut_de_l'année»</t>
  </si>
  <si>
    <t>FIN :</t>
  </si>
  <si>
    <t>Afficher «Le_montant_de_la_prime_est _de _ :» = PI</t>
  </si>
  <si>
    <r>
      <t>Taux_minimum</t>
    </r>
    <r>
      <rPr>
        <sz val="11"/>
        <color theme="1"/>
        <rFont val="Calibri"/>
        <family val="2"/>
        <scheme val="minor"/>
      </rPr>
      <t>: 5% (seuil minimum du ratio EBE/CA) ; Entier</t>
    </r>
  </si>
  <si>
    <r>
      <rPr>
        <b/>
        <sz val="11"/>
        <color theme="1"/>
        <rFont val="Calibri"/>
        <family val="2"/>
        <scheme val="minor"/>
      </rPr>
      <t>Tx_VA</t>
    </r>
    <r>
      <rPr>
        <sz val="11"/>
        <color theme="1"/>
        <rFont val="Calibri"/>
        <family val="2"/>
        <scheme val="minor"/>
      </rPr>
      <t xml:space="preserve"> : 3%  ; Entier</t>
    </r>
  </si>
  <si>
    <r>
      <t xml:space="preserve">VA: </t>
    </r>
    <r>
      <rPr>
        <sz val="11"/>
        <color theme="1"/>
        <rFont val="Calibri"/>
        <family val="2"/>
        <scheme val="minor"/>
      </rPr>
      <t>Valeur ajoutée ; numérique</t>
    </r>
  </si>
  <si>
    <t>Avec un taux horaire = 1432,08/117</t>
  </si>
  <si>
    <t>12,24*1,1</t>
  </si>
  <si>
    <t>12,24*1,25</t>
  </si>
  <si>
    <t>TVA 5,5%</t>
  </si>
  <si>
    <t>TVA en attente FAE</t>
  </si>
  <si>
    <t xml:space="preserve">Pour l'exercice 2022, le taux d'IS a 15% était calculé sur une base de 42 500 €. </t>
  </si>
  <si>
    <t>42500*15%</t>
  </si>
  <si>
    <t>(161300-42500)*25%</t>
  </si>
  <si>
    <r>
      <t xml:space="preserve">Le montant du 1er acompte 2023 sera de </t>
    </r>
    <r>
      <rPr>
        <b/>
        <sz val="11"/>
        <color theme="1"/>
        <rFont val="Calibri"/>
        <family val="2"/>
        <scheme val="minor"/>
      </rPr>
      <t>9 019 €</t>
    </r>
  </si>
  <si>
    <t>12 469 € + la régul du 1er acompte (12 469 € - 9 019€)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</si>
</sst>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\ [$€-40C]_-;\-* #,##0\ [$€-40C]_-;_-* &quot;-&quot;??\ [$€-40C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0" xfId="0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164" fontId="0" fillId="0" borderId="4" xfId="0" applyNumberFormat="1" applyBorder="1"/>
    <xf numFmtId="0" fontId="3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44" fontId="0" fillId="0" borderId="5" xfId="1" applyFont="1" applyBorder="1"/>
    <xf numFmtId="44" fontId="0" fillId="0" borderId="5" xfId="0" applyNumberFormat="1" applyBorder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164" fontId="0" fillId="0" borderId="0" xfId="0" applyNumberFormat="1" applyBorder="1"/>
    <xf numFmtId="164" fontId="0" fillId="0" borderId="6" xfId="0" applyNumberFormat="1" applyBorder="1"/>
    <xf numFmtId="0" fontId="0" fillId="0" borderId="0" xfId="0" applyFont="1"/>
    <xf numFmtId="0" fontId="7" fillId="0" borderId="0" xfId="0" applyFont="1"/>
    <xf numFmtId="0" fontId="8" fillId="0" borderId="0" xfId="0" applyFont="1"/>
    <xf numFmtId="4" fontId="0" fillId="0" borderId="5" xfId="0" applyNumberFormat="1" applyBorder="1" applyAlignment="1">
      <alignment horizontal="center"/>
    </xf>
    <xf numFmtId="0" fontId="0" fillId="0" borderId="0" xfId="0" quotePrefix="1"/>
    <xf numFmtId="164" fontId="0" fillId="0" borderId="0" xfId="0" quotePrefix="1" applyNumberFormat="1"/>
    <xf numFmtId="0" fontId="0" fillId="0" borderId="5" xfId="0" applyFont="1" applyBorder="1"/>
    <xf numFmtId="0" fontId="0" fillId="0" borderId="7" xfId="0" applyFont="1" applyBorder="1"/>
    <xf numFmtId="0" fontId="0" fillId="0" borderId="5" xfId="0" applyFill="1" applyBorder="1"/>
    <xf numFmtId="0" fontId="0" fillId="0" borderId="5" xfId="0" applyFont="1" applyBorder="1" applyAlignment="1">
      <alignment horizontal="center"/>
    </xf>
    <xf numFmtId="0" fontId="0" fillId="0" borderId="0" xfId="0" applyFill="1" applyBorder="1"/>
    <xf numFmtId="9" fontId="0" fillId="0" borderId="5" xfId="1" applyNumberFormat="1" applyFont="1" applyBorder="1"/>
    <xf numFmtId="10" fontId="3" fillId="0" borderId="0" xfId="2" applyNumberFormat="1" applyFont="1" applyAlignment="1">
      <alignment horizontal="center"/>
    </xf>
    <xf numFmtId="0" fontId="0" fillId="2" borderId="0" xfId="0" applyFill="1"/>
    <xf numFmtId="0" fontId="3" fillId="2" borderId="0" xfId="0" applyFont="1" applyFill="1"/>
    <xf numFmtId="10" fontId="3" fillId="2" borderId="0" xfId="2" applyNumberFormat="1" applyFont="1" applyFill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7" fillId="0" borderId="5" xfId="0" applyFont="1" applyBorder="1"/>
    <xf numFmtId="0" fontId="6" fillId="0" borderId="0" xfId="0" applyFont="1" applyBorder="1"/>
    <xf numFmtId="0" fontId="10" fillId="0" borderId="0" xfId="0" applyFont="1"/>
    <xf numFmtId="164" fontId="0" fillId="0" borderId="8" xfId="0" quotePrefix="1" applyNumberFormat="1" applyBorder="1"/>
    <xf numFmtId="164" fontId="0" fillId="0" borderId="8" xfId="0" applyNumberFormat="1" applyBorder="1"/>
    <xf numFmtId="164" fontId="0" fillId="0" borderId="4" xfId="0" quotePrefix="1" applyNumberFormat="1" applyBorder="1"/>
    <xf numFmtId="164" fontId="0" fillId="0" borderId="5" xfId="0" applyNumberFormat="1" applyBorder="1"/>
    <xf numFmtId="9" fontId="0" fillId="0" borderId="5" xfId="0" applyNumberFormat="1" applyBorder="1"/>
    <xf numFmtId="165" fontId="0" fillId="0" borderId="5" xfId="0" applyNumberFormat="1" applyBorder="1"/>
    <xf numFmtId="165" fontId="2" fillId="0" borderId="0" xfId="0" applyNumberFormat="1" applyFont="1"/>
    <xf numFmtId="0" fontId="11" fillId="0" borderId="0" xfId="0" applyFont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161890</xdr:colOff>
      <xdr:row>33</xdr:row>
      <xdr:rowOff>145144</xdr:rowOff>
    </xdr:from>
    <xdr:to>
      <xdr:col>14</xdr:col>
      <xdr:colOff>584279</xdr:colOff>
      <xdr:row>37</xdr:row>
      <xdr:rowOff>63502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5676" y="5969001"/>
          <a:ext cx="6073889" cy="644071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36</xdr:row>
      <xdr:rowOff>172357</xdr:rowOff>
    </xdr:from>
    <xdr:to>
      <xdr:col>1</xdr:col>
      <xdr:colOff>662214</xdr:colOff>
      <xdr:row>41</xdr:row>
      <xdr:rowOff>154214</xdr:rowOff>
    </xdr:to>
    <xdr:cxnSp macro="">
      <xdr:nvCxnSpPr>
        <xdr:cNvPr id="6" name="Connecteur droit avec flèche 5"/>
        <xdr:cNvCxnSpPr/>
      </xdr:nvCxnSpPr>
      <xdr:spPr>
        <a:xfrm>
          <a:off x="1143000" y="6540500"/>
          <a:ext cx="281214" cy="889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82177</xdr:colOff>
      <xdr:row>76</xdr:row>
      <xdr:rowOff>134470</xdr:rowOff>
    </xdr:from>
    <xdr:to>
      <xdr:col>5</xdr:col>
      <xdr:colOff>373529</xdr:colOff>
      <xdr:row>81</xdr:row>
      <xdr:rowOff>149412</xdr:rowOff>
    </xdr:to>
    <xdr:cxnSp macro="">
      <xdr:nvCxnSpPr>
        <xdr:cNvPr id="8" name="Connecteur droit avec flèche 7"/>
        <xdr:cNvCxnSpPr/>
      </xdr:nvCxnSpPr>
      <xdr:spPr>
        <a:xfrm flipH="1">
          <a:off x="3742765" y="14149294"/>
          <a:ext cx="1075764" cy="9487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200527</xdr:colOff>
      <xdr:row>4</xdr:row>
      <xdr:rowOff>158750</xdr:rowOff>
    </xdr:from>
    <xdr:to>
      <xdr:col>19</xdr:col>
      <xdr:colOff>84933</xdr:colOff>
      <xdr:row>14</xdr:row>
      <xdr:rowOff>25805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6711" y="894013"/>
          <a:ext cx="7487695" cy="1705213"/>
        </a:xfrm>
        <a:prstGeom prst="rect">
          <a:avLst/>
        </a:prstGeom>
      </xdr:spPr>
    </xdr:pic>
    <xdr:clientData/>
  </xdr:twoCellAnchor>
  <xdr:twoCellAnchor>
    <xdr:from>
      <xdr:col>6</xdr:col>
      <xdr:colOff>526382</xdr:colOff>
      <xdr:row>11</xdr:row>
      <xdr:rowOff>167105</xdr:rowOff>
    </xdr:from>
    <xdr:to>
      <xdr:col>7</xdr:col>
      <xdr:colOff>534737</xdr:colOff>
      <xdr:row>13</xdr:row>
      <xdr:rowOff>83553</xdr:rowOff>
    </xdr:to>
    <xdr:cxnSp macro="">
      <xdr:nvCxnSpPr>
        <xdr:cNvPr id="12" name="Connecteur droit avec flèche 11"/>
        <xdr:cNvCxnSpPr/>
      </xdr:nvCxnSpPr>
      <xdr:spPr>
        <a:xfrm>
          <a:off x="5681579" y="2189079"/>
          <a:ext cx="768684" cy="2840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277356</xdr:colOff>
      <xdr:row>14</xdr:row>
      <xdr:rowOff>138678</xdr:rowOff>
    </xdr:from>
    <xdr:to>
      <xdr:col>9</xdr:col>
      <xdr:colOff>394150</xdr:colOff>
      <xdr:row>25</xdr:row>
      <xdr:rowOff>52920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356" y="8532356"/>
          <a:ext cx="7021507" cy="1921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opLeftCell="A45" zoomScale="84" workbookViewId="0">
      <selection activeCell="E62" sqref="E62"/>
    </sheetView>
  </sheetViews>
  <sheetFormatPr baseColWidth="10" defaultRowHeight="15" x14ac:dyDescent="0.25"/>
  <cols>
    <col min="3" max="3" width="14.85546875" customWidth="1"/>
    <col min="4" max="4" width="15.7109375" bestFit="1" customWidth="1"/>
    <col min="5" max="6" width="11.28515625" style="6" customWidth="1"/>
    <col min="13" max="13" width="12.5703125" customWidth="1"/>
    <col min="14" max="14" width="24.7109375" bestFit="1" customWidth="1"/>
  </cols>
  <sheetData>
    <row r="1" spans="1:11" ht="15.75" x14ac:dyDescent="0.25">
      <c r="E1" s="21" t="s">
        <v>329</v>
      </c>
      <c r="G1" s="21"/>
    </row>
    <row r="2" spans="1:11" ht="15.75" x14ac:dyDescent="0.25">
      <c r="E2" s="21"/>
      <c r="G2" s="21"/>
    </row>
    <row r="3" spans="1:11" x14ac:dyDescent="0.25">
      <c r="A3" s="1"/>
      <c r="B3" s="1"/>
      <c r="C3" s="1"/>
      <c r="D3" s="2" t="s">
        <v>38</v>
      </c>
      <c r="E3" s="3"/>
      <c r="F3" s="3"/>
    </row>
    <row r="4" spans="1:11" x14ac:dyDescent="0.25">
      <c r="A4" t="s">
        <v>39</v>
      </c>
      <c r="E4" s="4" t="s">
        <v>2</v>
      </c>
      <c r="F4" s="4" t="s">
        <v>3</v>
      </c>
    </row>
    <row r="5" spans="1:11" x14ac:dyDescent="0.25">
      <c r="B5">
        <v>701100</v>
      </c>
      <c r="C5" t="s">
        <v>40</v>
      </c>
      <c r="E5" s="5"/>
      <c r="F5" s="5">
        <v>132</v>
      </c>
      <c r="H5" s="20"/>
      <c r="I5" s="20" t="s">
        <v>59</v>
      </c>
      <c r="J5" s="20"/>
      <c r="K5" s="20"/>
    </row>
    <row r="6" spans="1:11" x14ac:dyDescent="0.25">
      <c r="B6">
        <v>701200</v>
      </c>
      <c r="C6" t="s">
        <v>41</v>
      </c>
      <c r="E6" s="5"/>
      <c r="F6" s="5">
        <v>140</v>
      </c>
      <c r="H6" s="20"/>
      <c r="I6" s="20" t="s">
        <v>328</v>
      </c>
      <c r="J6" s="20"/>
      <c r="K6" s="20"/>
    </row>
    <row r="7" spans="1:11" x14ac:dyDescent="0.25">
      <c r="B7">
        <v>701300</v>
      </c>
      <c r="C7" t="s">
        <v>42</v>
      </c>
      <c r="E7" s="5"/>
      <c r="F7" s="5">
        <v>165</v>
      </c>
      <c r="H7" s="20"/>
      <c r="I7" s="20" t="s">
        <v>60</v>
      </c>
      <c r="J7" s="20"/>
      <c r="K7" s="20"/>
    </row>
    <row r="8" spans="1:11" x14ac:dyDescent="0.25">
      <c r="B8">
        <v>701400</v>
      </c>
      <c r="C8" t="s">
        <v>43</v>
      </c>
      <c r="E8" s="5"/>
      <c r="F8" s="5">
        <v>175</v>
      </c>
      <c r="H8" s="20"/>
      <c r="I8" s="20" t="s">
        <v>61</v>
      </c>
      <c r="J8" s="20"/>
      <c r="K8" s="20"/>
    </row>
    <row r="9" spans="1:11" x14ac:dyDescent="0.25">
      <c r="B9">
        <v>445711</v>
      </c>
      <c r="C9" t="s">
        <v>44</v>
      </c>
      <c r="E9" s="5"/>
      <c r="F9" s="5">
        <f>+SUM(F5:F8)*5.5%</f>
        <v>33.660000000000004</v>
      </c>
      <c r="I9" s="20" t="s">
        <v>62</v>
      </c>
      <c r="K9" s="20" t="s">
        <v>22</v>
      </c>
    </row>
    <row r="10" spans="1:11" x14ac:dyDescent="0.25">
      <c r="B10">
        <v>419600</v>
      </c>
      <c r="C10" t="s">
        <v>47</v>
      </c>
      <c r="E10" s="5"/>
      <c r="F10" s="5">
        <v>60</v>
      </c>
    </row>
    <row r="11" spans="1:11" x14ac:dyDescent="0.25">
      <c r="A11" t="s">
        <v>45</v>
      </c>
      <c r="B11" t="s">
        <v>46</v>
      </c>
      <c r="E11" s="5">
        <f>SUM(F5:F10)</f>
        <v>705.66</v>
      </c>
      <c r="F11" s="5"/>
    </row>
    <row r="12" spans="1:11" x14ac:dyDescent="0.25">
      <c r="E12" s="5"/>
      <c r="F12" s="5"/>
    </row>
    <row r="13" spans="1:11" x14ac:dyDescent="0.25">
      <c r="A13" t="s">
        <v>49</v>
      </c>
      <c r="E13" s="5"/>
      <c r="F13" s="5"/>
    </row>
    <row r="14" spans="1:11" x14ac:dyDescent="0.25">
      <c r="E14" s="17"/>
      <c r="F14" s="17"/>
    </row>
    <row r="15" spans="1:11" x14ac:dyDescent="0.25">
      <c r="A15" s="13" t="s">
        <v>23</v>
      </c>
    </row>
    <row r="17" spans="1:14" x14ac:dyDescent="0.25">
      <c r="H17" s="20" t="s">
        <v>63</v>
      </c>
      <c r="I17" s="20"/>
      <c r="J17" s="20"/>
      <c r="K17" s="20"/>
      <c r="L17" s="20"/>
      <c r="M17" s="20"/>
      <c r="N17" s="20"/>
    </row>
    <row r="18" spans="1:14" x14ac:dyDescent="0.25">
      <c r="A18" t="s">
        <v>48</v>
      </c>
      <c r="H18" s="20" t="s">
        <v>64</v>
      </c>
      <c r="I18" s="20"/>
      <c r="J18" s="20"/>
      <c r="K18" s="20"/>
      <c r="L18" s="20"/>
      <c r="M18" s="20"/>
      <c r="N18" s="20"/>
    </row>
    <row r="19" spans="1:14" x14ac:dyDescent="0.25">
      <c r="H19" s="20" t="s">
        <v>65</v>
      </c>
      <c r="I19" s="20"/>
      <c r="J19" s="20"/>
      <c r="K19" s="20"/>
      <c r="L19" s="20"/>
      <c r="M19" s="20"/>
      <c r="N19" s="20"/>
    </row>
    <row r="20" spans="1:14" x14ac:dyDescent="0.25">
      <c r="A20" s="1"/>
      <c r="B20" s="1"/>
      <c r="C20" s="1"/>
      <c r="D20" s="2" t="s">
        <v>50</v>
      </c>
      <c r="E20" s="3"/>
      <c r="F20" s="3"/>
      <c r="H20" s="20" t="s">
        <v>66</v>
      </c>
      <c r="I20" s="20"/>
      <c r="J20" s="20" t="s">
        <v>22</v>
      </c>
      <c r="K20" s="20"/>
      <c r="L20" s="20"/>
      <c r="M20" s="20"/>
      <c r="N20" s="20"/>
    </row>
    <row r="21" spans="1:14" x14ac:dyDescent="0.25">
      <c r="A21" t="s">
        <v>0</v>
      </c>
      <c r="E21" s="4" t="s">
        <v>2</v>
      </c>
      <c r="F21" s="4" t="s">
        <v>3</v>
      </c>
    </row>
    <row r="22" spans="1:14" x14ac:dyDescent="0.25">
      <c r="C22">
        <v>601100</v>
      </c>
      <c r="D22" t="s">
        <v>52</v>
      </c>
      <c r="E22" s="5"/>
      <c r="F22" s="5">
        <f>57.5</f>
        <v>57.5</v>
      </c>
      <c r="H22" s="20" t="s">
        <v>56</v>
      </c>
      <c r="I22" s="20"/>
      <c r="J22" s="20"/>
      <c r="K22" s="20"/>
      <c r="L22" s="20"/>
    </row>
    <row r="23" spans="1:14" x14ac:dyDescent="0.25">
      <c r="C23">
        <v>445661</v>
      </c>
      <c r="D23" t="s">
        <v>53</v>
      </c>
      <c r="E23" s="5"/>
      <c r="F23" s="5">
        <f>+F22*5.5%</f>
        <v>3.1625000000000001</v>
      </c>
      <c r="H23" s="20" t="s">
        <v>57</v>
      </c>
      <c r="I23" s="20"/>
      <c r="J23" s="20"/>
      <c r="K23" s="20"/>
      <c r="L23" s="20"/>
    </row>
    <row r="24" spans="1:14" x14ac:dyDescent="0.25">
      <c r="B24" t="s">
        <v>54</v>
      </c>
      <c r="C24" t="s">
        <v>55</v>
      </c>
      <c r="E24" s="5">
        <f>F23+F22</f>
        <v>60.662500000000001</v>
      </c>
      <c r="F24" s="5"/>
      <c r="H24" s="20"/>
      <c r="I24" s="20"/>
      <c r="J24" s="20"/>
      <c r="K24" s="20"/>
      <c r="L24" s="20"/>
    </row>
    <row r="25" spans="1:14" x14ac:dyDescent="0.25">
      <c r="E25" s="5"/>
      <c r="F25" s="5"/>
      <c r="H25" s="20" t="s">
        <v>22</v>
      </c>
      <c r="I25" s="20"/>
      <c r="J25" s="20"/>
      <c r="K25" s="20"/>
      <c r="L25" s="20"/>
    </row>
    <row r="26" spans="1:14" x14ac:dyDescent="0.25">
      <c r="E26" s="5"/>
      <c r="F26" s="5"/>
    </row>
    <row r="27" spans="1:14" x14ac:dyDescent="0.25">
      <c r="A27" t="s">
        <v>51</v>
      </c>
    </row>
    <row r="29" spans="1:14" x14ac:dyDescent="0.25">
      <c r="A29" s="13" t="s">
        <v>58</v>
      </c>
    </row>
    <row r="30" spans="1:14" x14ac:dyDescent="0.25">
      <c r="A30" s="13"/>
    </row>
    <row r="31" spans="1:14" x14ac:dyDescent="0.25">
      <c r="A31" s="13"/>
    </row>
    <row r="32" spans="1:14" x14ac:dyDescent="0.25">
      <c r="A32" s="1"/>
      <c r="B32" s="1"/>
      <c r="C32" s="1"/>
      <c r="D32" s="2" t="s">
        <v>88</v>
      </c>
      <c r="E32" s="3"/>
      <c r="F32" s="3"/>
    </row>
    <row r="33" spans="1:14" x14ac:dyDescent="0.25">
      <c r="A33" t="s">
        <v>0</v>
      </c>
      <c r="E33" s="4" t="s">
        <v>2</v>
      </c>
      <c r="F33" s="4" t="s">
        <v>3</v>
      </c>
      <c r="H33" t="s">
        <v>78</v>
      </c>
    </row>
    <row r="34" spans="1:14" x14ac:dyDescent="0.25">
      <c r="B34">
        <v>215410</v>
      </c>
      <c r="C34" t="s">
        <v>79</v>
      </c>
      <c r="E34" s="5">
        <f>2650+200+150</f>
        <v>3000</v>
      </c>
      <c r="F34" s="5"/>
      <c r="G34" t="s">
        <v>85</v>
      </c>
    </row>
    <row r="35" spans="1:14" x14ac:dyDescent="0.25">
      <c r="B35">
        <v>445620</v>
      </c>
      <c r="C35" t="s">
        <v>80</v>
      </c>
      <c r="E35" s="5">
        <f>+E34*20%</f>
        <v>600</v>
      </c>
      <c r="F35" s="5"/>
      <c r="G35" t="s">
        <v>86</v>
      </c>
    </row>
    <row r="36" spans="1:14" x14ac:dyDescent="0.25">
      <c r="B36">
        <v>622800</v>
      </c>
      <c r="C36" t="s">
        <v>14</v>
      </c>
      <c r="E36" s="5">
        <v>440</v>
      </c>
      <c r="F36" s="5"/>
    </row>
    <row r="37" spans="1:14" x14ac:dyDescent="0.25">
      <c r="B37">
        <v>445660</v>
      </c>
      <c r="C37" t="s">
        <v>81</v>
      </c>
      <c r="E37" s="5">
        <f>+E36*20%</f>
        <v>88</v>
      </c>
      <c r="F37" s="5"/>
      <c r="G37" t="s">
        <v>87</v>
      </c>
    </row>
    <row r="38" spans="1:14" x14ac:dyDescent="0.25">
      <c r="C38" t="s">
        <v>82</v>
      </c>
      <c r="D38" t="s">
        <v>83</v>
      </c>
      <c r="E38" s="5"/>
      <c r="F38" s="7">
        <f>+SUM(E34:E37)</f>
        <v>4128</v>
      </c>
    </row>
    <row r="39" spans="1:14" x14ac:dyDescent="0.25">
      <c r="E39" s="5"/>
      <c r="F39" s="7"/>
      <c r="I39" s="20" t="s">
        <v>74</v>
      </c>
    </row>
    <row r="40" spans="1:14" x14ac:dyDescent="0.25">
      <c r="A40" t="s">
        <v>102</v>
      </c>
      <c r="E40" s="5"/>
      <c r="F40" s="7"/>
      <c r="I40" s="20" t="s">
        <v>67</v>
      </c>
    </row>
    <row r="41" spans="1:14" x14ac:dyDescent="0.25">
      <c r="E41" s="5"/>
      <c r="F41" s="7"/>
      <c r="I41" s="20" t="s">
        <v>68</v>
      </c>
    </row>
    <row r="42" spans="1:14" x14ac:dyDescent="0.25">
      <c r="C42" t="s">
        <v>84</v>
      </c>
      <c r="I42" s="20" t="s">
        <v>69</v>
      </c>
    </row>
    <row r="43" spans="1:14" x14ac:dyDescent="0.25">
      <c r="I43" s="20" t="s">
        <v>70</v>
      </c>
    </row>
    <row r="44" spans="1:14" x14ac:dyDescent="0.25">
      <c r="I44" s="20" t="s">
        <v>71</v>
      </c>
    </row>
    <row r="45" spans="1:14" x14ac:dyDescent="0.25">
      <c r="A45" s="13"/>
      <c r="I45" s="20" t="s">
        <v>72</v>
      </c>
    </row>
    <row r="46" spans="1:14" x14ac:dyDescent="0.25">
      <c r="I46" s="20" t="s">
        <v>73</v>
      </c>
    </row>
    <row r="47" spans="1:14" x14ac:dyDescent="0.25">
      <c r="I47" s="20" t="s">
        <v>75</v>
      </c>
      <c r="N47" s="20" t="s">
        <v>22</v>
      </c>
    </row>
    <row r="48" spans="1:14" x14ac:dyDescent="0.25">
      <c r="I48" s="20"/>
    </row>
    <row r="49" spans="1:9" x14ac:dyDescent="0.25">
      <c r="I49" s="20" t="s">
        <v>76</v>
      </c>
    </row>
    <row r="50" spans="1:9" x14ac:dyDescent="0.25">
      <c r="I50" s="20" t="s">
        <v>77</v>
      </c>
    </row>
    <row r="53" spans="1:9" x14ac:dyDescent="0.25">
      <c r="A53" s="13" t="s">
        <v>58</v>
      </c>
    </row>
    <row r="56" spans="1:9" x14ac:dyDescent="0.25">
      <c r="A56" s="1"/>
      <c r="B56" s="1"/>
      <c r="C56" s="1"/>
      <c r="D56" s="2" t="s">
        <v>89</v>
      </c>
      <c r="E56" s="3"/>
      <c r="F56" s="3"/>
    </row>
    <row r="57" spans="1:9" x14ac:dyDescent="0.25">
      <c r="A57" t="s">
        <v>0</v>
      </c>
      <c r="E57" s="4" t="s">
        <v>2</v>
      </c>
      <c r="F57" s="4" t="s">
        <v>3</v>
      </c>
      <c r="H57" t="s">
        <v>91</v>
      </c>
    </row>
    <row r="58" spans="1:9" x14ac:dyDescent="0.25">
      <c r="E58" s="5"/>
      <c r="F58" s="5"/>
    </row>
    <row r="59" spans="1:9" x14ac:dyDescent="0.25">
      <c r="B59">
        <v>601500</v>
      </c>
      <c r="C59" t="s">
        <v>90</v>
      </c>
      <c r="E59" s="24">
        <f>10747.35*0.13444/1</f>
        <v>1444.873734</v>
      </c>
      <c r="F59" s="7"/>
      <c r="H59" s="10" t="s">
        <v>92</v>
      </c>
      <c r="I59" s="10" t="s">
        <v>93</v>
      </c>
    </row>
    <row r="60" spans="1:9" x14ac:dyDescent="0.25">
      <c r="C60" t="s">
        <v>97</v>
      </c>
      <c r="D60" t="s">
        <v>98</v>
      </c>
      <c r="E60" s="5"/>
      <c r="F60" s="5">
        <f>E59</f>
        <v>1444.873734</v>
      </c>
      <c r="H60" s="10">
        <v>1</v>
      </c>
      <c r="I60" s="10">
        <v>0.13444</v>
      </c>
    </row>
    <row r="61" spans="1:9" x14ac:dyDescent="0.25">
      <c r="B61">
        <v>445662</v>
      </c>
      <c r="C61" t="s">
        <v>99</v>
      </c>
      <c r="E61" s="5">
        <f>+E59*5.5%</f>
        <v>79.468055370000002</v>
      </c>
      <c r="F61" s="5"/>
      <c r="H61" s="22">
        <v>10747.35</v>
      </c>
      <c r="I61" s="10" t="s">
        <v>94</v>
      </c>
    </row>
    <row r="62" spans="1:9" x14ac:dyDescent="0.25">
      <c r="C62">
        <v>445200</v>
      </c>
      <c r="D62" t="s">
        <v>100</v>
      </c>
      <c r="E62" s="5"/>
      <c r="F62" s="7">
        <f>+E61</f>
        <v>79.468055370000002</v>
      </c>
    </row>
    <row r="63" spans="1:9" x14ac:dyDescent="0.25">
      <c r="A63" t="s">
        <v>101</v>
      </c>
      <c r="E63" s="5"/>
      <c r="F63" s="7"/>
      <c r="H63" t="s">
        <v>95</v>
      </c>
      <c r="I63" s="23" t="s">
        <v>96</v>
      </c>
    </row>
    <row r="64" spans="1:9" x14ac:dyDescent="0.25">
      <c r="E64" s="5"/>
      <c r="F64" s="7"/>
    </row>
    <row r="66" spans="1:8" x14ac:dyDescent="0.25">
      <c r="A66" s="20" t="s">
        <v>103</v>
      </c>
    </row>
    <row r="67" spans="1:8" x14ac:dyDescent="0.25">
      <c r="A67" s="20" t="s">
        <v>104</v>
      </c>
    </row>
    <row r="68" spans="1:8" x14ac:dyDescent="0.25">
      <c r="A68" s="20" t="s">
        <v>116</v>
      </c>
      <c r="G68" s="20" t="s">
        <v>22</v>
      </c>
    </row>
    <row r="70" spans="1:8" x14ac:dyDescent="0.25">
      <c r="A70" s="13" t="s">
        <v>58</v>
      </c>
    </row>
    <row r="72" spans="1:8" x14ac:dyDescent="0.25">
      <c r="A72" s="1"/>
      <c r="B72" s="1"/>
      <c r="C72" s="1"/>
      <c r="D72" s="2" t="s">
        <v>105</v>
      </c>
      <c r="E72" s="3"/>
      <c r="F72" s="3"/>
    </row>
    <row r="73" spans="1:8" x14ac:dyDescent="0.25">
      <c r="A73" t="s">
        <v>16</v>
      </c>
      <c r="E73" s="4" t="s">
        <v>2</v>
      </c>
      <c r="F73" s="4" t="s">
        <v>3</v>
      </c>
    </row>
    <row r="74" spans="1:8" x14ac:dyDescent="0.25">
      <c r="E74" s="5"/>
      <c r="F74" s="5"/>
      <c r="H74" s="20" t="s">
        <v>110</v>
      </c>
    </row>
    <row r="75" spans="1:8" x14ac:dyDescent="0.25">
      <c r="B75" t="str">
        <f>+C60</f>
        <v>401ERICS</v>
      </c>
      <c r="C75" t="str">
        <f>+D60</f>
        <v>Frs Jensen Ericsen</v>
      </c>
      <c r="E75" s="24">
        <f>+F60</f>
        <v>1444.873734</v>
      </c>
      <c r="F75" s="7"/>
      <c r="H75" s="20" t="s">
        <v>111</v>
      </c>
    </row>
    <row r="76" spans="1:8" x14ac:dyDescent="0.25">
      <c r="C76">
        <v>512100</v>
      </c>
      <c r="D76" t="s">
        <v>18</v>
      </c>
      <c r="E76" s="5"/>
      <c r="F76" s="5">
        <f>1467.01</f>
        <v>1467.01</v>
      </c>
      <c r="H76" s="20" t="s">
        <v>112</v>
      </c>
    </row>
    <row r="77" spans="1:8" x14ac:dyDescent="0.25">
      <c r="B77">
        <v>666000</v>
      </c>
      <c r="C77" t="s">
        <v>106</v>
      </c>
      <c r="E77" s="5">
        <f>F76-E75</f>
        <v>22.136265999999978</v>
      </c>
      <c r="F77" s="5"/>
      <c r="H77" s="20" t="s">
        <v>113</v>
      </c>
    </row>
    <row r="78" spans="1:8" x14ac:dyDescent="0.25">
      <c r="E78" s="5"/>
      <c r="F78" s="7"/>
      <c r="H78" s="20" t="s">
        <v>114</v>
      </c>
    </row>
    <row r="79" spans="1:8" x14ac:dyDescent="0.25">
      <c r="A79" t="s">
        <v>107</v>
      </c>
      <c r="C79" s="10" t="s">
        <v>92</v>
      </c>
      <c r="D79" s="10" t="s">
        <v>93</v>
      </c>
      <c r="E79" s="5"/>
      <c r="F79" s="7"/>
      <c r="H79" s="20" t="s">
        <v>115</v>
      </c>
    </row>
    <row r="80" spans="1:8" x14ac:dyDescent="0.25">
      <c r="C80" s="10">
        <v>1</v>
      </c>
      <c r="D80" s="10">
        <v>0.13650000000000001</v>
      </c>
    </row>
    <row r="81" spans="1:12" x14ac:dyDescent="0.25">
      <c r="C81" s="22">
        <f>+H61</f>
        <v>10747.35</v>
      </c>
      <c r="D81" s="10" t="s">
        <v>94</v>
      </c>
      <c r="L81" s="20" t="s">
        <v>22</v>
      </c>
    </row>
    <row r="83" spans="1:12" x14ac:dyDescent="0.25">
      <c r="C83" t="s">
        <v>108</v>
      </c>
      <c r="D83">
        <f>C81*D80/C80</f>
        <v>1467.0132750000002</v>
      </c>
      <c r="E83" s="6" t="s">
        <v>109</v>
      </c>
    </row>
    <row r="86" spans="1:12" x14ac:dyDescent="0.25">
      <c r="A86" s="13" t="s">
        <v>21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3"/>
  <sheetViews>
    <sheetView topLeftCell="A29" zoomScale="66" workbookViewId="0">
      <selection activeCell="B41" sqref="B41"/>
    </sheetView>
  </sheetViews>
  <sheetFormatPr baseColWidth="10" defaultRowHeight="15" x14ac:dyDescent="0.25"/>
  <cols>
    <col min="5" max="5" width="12.85546875" customWidth="1"/>
    <col min="6" max="6" width="13.42578125" customWidth="1"/>
    <col min="7" max="7" width="10.85546875" customWidth="1"/>
  </cols>
  <sheetData>
    <row r="2" spans="1:16" x14ac:dyDescent="0.25">
      <c r="A2" s="16" t="s">
        <v>117</v>
      </c>
    </row>
    <row r="4" spans="1:16" x14ac:dyDescent="0.25">
      <c r="A4" t="s">
        <v>118</v>
      </c>
    </row>
    <row r="5" spans="1:16" x14ac:dyDescent="0.25">
      <c r="A5" t="s">
        <v>119</v>
      </c>
    </row>
    <row r="6" spans="1:16" x14ac:dyDescent="0.25">
      <c r="A6" t="s">
        <v>327</v>
      </c>
    </row>
    <row r="7" spans="1:16" x14ac:dyDescent="0.25">
      <c r="I7" s="20" t="s">
        <v>126</v>
      </c>
      <c r="J7" s="20"/>
      <c r="K7" s="20"/>
      <c r="L7" s="20"/>
      <c r="M7" s="20"/>
      <c r="N7" s="20"/>
      <c r="O7" s="20"/>
      <c r="P7" s="20"/>
    </row>
    <row r="8" spans="1:16" x14ac:dyDescent="0.25">
      <c r="A8" s="1"/>
      <c r="B8" s="1"/>
      <c r="C8" s="1"/>
      <c r="D8" s="2" t="s">
        <v>120</v>
      </c>
      <c r="E8" s="3"/>
      <c r="F8" s="3"/>
      <c r="I8" s="20" t="s">
        <v>131</v>
      </c>
      <c r="J8" s="20"/>
      <c r="K8" s="20"/>
      <c r="L8" s="20"/>
      <c r="M8" s="20"/>
      <c r="N8" s="20"/>
      <c r="O8" s="20"/>
      <c r="P8" s="20"/>
    </row>
    <row r="9" spans="1:16" x14ac:dyDescent="0.25">
      <c r="A9" t="s">
        <v>13</v>
      </c>
      <c r="E9" s="4" t="s">
        <v>2</v>
      </c>
      <c r="F9" s="4" t="s">
        <v>3</v>
      </c>
      <c r="I9" s="20" t="s">
        <v>127</v>
      </c>
      <c r="J9" s="20"/>
      <c r="K9" s="20"/>
      <c r="L9" s="20"/>
      <c r="M9" s="20"/>
      <c r="N9" s="20"/>
      <c r="O9" s="20"/>
      <c r="P9" s="20"/>
    </row>
    <row r="10" spans="1:16" x14ac:dyDescent="0.25">
      <c r="E10" s="5"/>
      <c r="F10" s="5"/>
      <c r="I10" s="20" t="s">
        <v>128</v>
      </c>
      <c r="J10" s="20"/>
      <c r="K10" s="20"/>
      <c r="L10" s="20"/>
      <c r="M10" s="20"/>
      <c r="N10" s="20"/>
      <c r="O10" s="20"/>
      <c r="P10" s="20"/>
    </row>
    <row r="11" spans="1:16" x14ac:dyDescent="0.25">
      <c r="B11">
        <v>106880</v>
      </c>
      <c r="C11" t="s">
        <v>123</v>
      </c>
      <c r="E11" s="24">
        <f>+F12</f>
        <v>27500</v>
      </c>
      <c r="F11" s="7"/>
      <c r="I11" s="20" t="s">
        <v>129</v>
      </c>
      <c r="J11" s="20"/>
      <c r="K11" s="20"/>
      <c r="L11" s="20"/>
      <c r="M11" s="20"/>
      <c r="N11" s="20"/>
      <c r="O11" s="20"/>
      <c r="P11" s="20"/>
    </row>
    <row r="12" spans="1:16" x14ac:dyDescent="0.25">
      <c r="C12">
        <v>101000</v>
      </c>
      <c r="D12" t="s">
        <v>122</v>
      </c>
      <c r="E12" s="5" t="s">
        <v>133</v>
      </c>
      <c r="F12" s="5">
        <f>27500</f>
        <v>27500</v>
      </c>
      <c r="I12" s="20" t="s">
        <v>130</v>
      </c>
      <c r="J12" s="20"/>
      <c r="K12" s="20"/>
      <c r="L12" s="20"/>
      <c r="M12" s="20"/>
      <c r="N12" s="20"/>
      <c r="O12" s="20"/>
      <c r="P12" s="20"/>
    </row>
    <row r="13" spans="1:16" x14ac:dyDescent="0.25">
      <c r="E13" s="5"/>
      <c r="F13" s="5"/>
      <c r="I13" s="20" t="s">
        <v>132</v>
      </c>
      <c r="J13" s="20"/>
      <c r="K13" s="20"/>
      <c r="L13" s="20"/>
      <c r="M13" s="20"/>
      <c r="N13" s="20"/>
      <c r="O13" s="20"/>
      <c r="P13" s="20"/>
    </row>
    <row r="14" spans="1:16" x14ac:dyDescent="0.25">
      <c r="E14" s="5"/>
      <c r="F14" s="7"/>
      <c r="M14" s="20" t="s">
        <v>22</v>
      </c>
    </row>
    <row r="15" spans="1:16" x14ac:dyDescent="0.25">
      <c r="A15" t="s">
        <v>121</v>
      </c>
      <c r="E15" s="5"/>
      <c r="F15" s="7"/>
    </row>
    <row r="17" spans="1:10" x14ac:dyDescent="0.25">
      <c r="B17" t="s">
        <v>134</v>
      </c>
    </row>
    <row r="19" spans="1:10" x14ac:dyDescent="0.25">
      <c r="A19" s="13" t="s">
        <v>125</v>
      </c>
    </row>
    <row r="22" spans="1:10" x14ac:dyDescent="0.25">
      <c r="A22" s="16" t="s">
        <v>135</v>
      </c>
    </row>
    <row r="24" spans="1:10" x14ac:dyDescent="0.25">
      <c r="A24" s="1"/>
      <c r="B24" s="1"/>
      <c r="C24" s="1"/>
      <c r="D24" s="2" t="s">
        <v>15</v>
      </c>
      <c r="E24" s="3"/>
      <c r="F24" s="3"/>
    </row>
    <row r="25" spans="1:10" x14ac:dyDescent="0.25">
      <c r="A25" t="s">
        <v>16</v>
      </c>
      <c r="E25" s="4" t="s">
        <v>2</v>
      </c>
      <c r="F25" s="4" t="s">
        <v>3</v>
      </c>
    </row>
    <row r="26" spans="1:10" x14ac:dyDescent="0.25">
      <c r="C26">
        <v>164000</v>
      </c>
      <c r="D26" t="s">
        <v>17</v>
      </c>
      <c r="E26" s="5"/>
      <c r="F26" s="5">
        <v>30000</v>
      </c>
      <c r="H26" s="20" t="s">
        <v>35</v>
      </c>
      <c r="J26" s="20"/>
    </row>
    <row r="27" spans="1:10" x14ac:dyDescent="0.25">
      <c r="B27">
        <v>512000</v>
      </c>
      <c r="C27" t="s">
        <v>18</v>
      </c>
      <c r="E27" s="5">
        <f>F26</f>
        <v>30000</v>
      </c>
      <c r="F27" s="5"/>
      <c r="H27" s="20" t="s">
        <v>36</v>
      </c>
      <c r="J27" s="20"/>
    </row>
    <row r="28" spans="1:10" x14ac:dyDescent="0.25">
      <c r="E28" s="5"/>
      <c r="F28" s="5"/>
      <c r="H28" s="20" t="s">
        <v>37</v>
      </c>
      <c r="J28" s="20"/>
    </row>
    <row r="29" spans="1:10" x14ac:dyDescent="0.25">
      <c r="A29" t="s">
        <v>136</v>
      </c>
      <c r="I29" s="20" t="s">
        <v>22</v>
      </c>
    </row>
    <row r="31" spans="1:10" x14ac:dyDescent="0.25">
      <c r="A31" s="13" t="s">
        <v>34</v>
      </c>
    </row>
    <row r="34" spans="1:6" x14ac:dyDescent="0.25">
      <c r="A34" s="16" t="s">
        <v>137</v>
      </c>
    </row>
    <row r="36" spans="1:6" x14ac:dyDescent="0.25">
      <c r="A36" s="1"/>
      <c r="B36" s="1"/>
      <c r="C36" s="1"/>
      <c r="D36" s="2" t="s">
        <v>138</v>
      </c>
      <c r="E36" s="3"/>
      <c r="F36" s="3"/>
    </row>
    <row r="37" spans="1:6" x14ac:dyDescent="0.25">
      <c r="A37" t="s">
        <v>16</v>
      </c>
      <c r="E37" s="4" t="s">
        <v>2</v>
      </c>
      <c r="F37" s="4" t="s">
        <v>3</v>
      </c>
    </row>
    <row r="38" spans="1:6" x14ac:dyDescent="0.25">
      <c r="C38">
        <v>512000</v>
      </c>
      <c r="D38" t="s">
        <v>18</v>
      </c>
      <c r="E38" s="5"/>
      <c r="F38" s="5" t="s">
        <v>140</v>
      </c>
    </row>
    <row r="39" spans="1:6" x14ac:dyDescent="0.25">
      <c r="B39">
        <v>164000</v>
      </c>
      <c r="C39" t="s">
        <v>17</v>
      </c>
      <c r="E39" s="5" t="s">
        <v>140</v>
      </c>
      <c r="F39" s="5"/>
    </row>
    <row r="40" spans="1:6" x14ac:dyDescent="0.25">
      <c r="B40">
        <v>661000</v>
      </c>
      <c r="C40" t="s">
        <v>139</v>
      </c>
      <c r="E40" s="5" t="s">
        <v>140</v>
      </c>
      <c r="F40" s="5"/>
    </row>
    <row r="43" spans="1:6" x14ac:dyDescent="0.25">
      <c r="A43" s="13" t="s">
        <v>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topLeftCell="A22" zoomScale="75" workbookViewId="0">
      <selection activeCell="B38" sqref="B38"/>
    </sheetView>
  </sheetViews>
  <sheetFormatPr baseColWidth="10" defaultRowHeight="15" x14ac:dyDescent="0.25"/>
  <cols>
    <col min="1" max="1" width="16.42578125" customWidth="1"/>
    <col min="2" max="2" width="15.5703125" customWidth="1"/>
    <col min="3" max="3" width="12.42578125" customWidth="1"/>
    <col min="4" max="4" width="11.42578125" bestFit="1" customWidth="1"/>
  </cols>
  <sheetData>
    <row r="2" spans="1:2" x14ac:dyDescent="0.25">
      <c r="A2" t="s">
        <v>4</v>
      </c>
    </row>
    <row r="3" spans="1:2" x14ac:dyDescent="0.25">
      <c r="B3" s="19" t="s">
        <v>143</v>
      </c>
    </row>
    <row r="4" spans="1:2" x14ac:dyDescent="0.25">
      <c r="B4" t="s">
        <v>141</v>
      </c>
    </row>
    <row r="5" spans="1:2" x14ac:dyDescent="0.25">
      <c r="B5" t="s">
        <v>142</v>
      </c>
    </row>
    <row r="7" spans="1:2" x14ac:dyDescent="0.25">
      <c r="B7" t="s">
        <v>144</v>
      </c>
    </row>
    <row r="8" spans="1:2" x14ac:dyDescent="0.25">
      <c r="B8" t="s">
        <v>146</v>
      </c>
    </row>
    <row r="9" spans="1:2" x14ac:dyDescent="0.25">
      <c r="B9" t="s">
        <v>325</v>
      </c>
    </row>
    <row r="10" spans="1:2" x14ac:dyDescent="0.25">
      <c r="B10" t="s">
        <v>145</v>
      </c>
    </row>
    <row r="13" spans="1:2" x14ac:dyDescent="0.25">
      <c r="A13" t="s">
        <v>147</v>
      </c>
    </row>
    <row r="15" spans="1:2" x14ac:dyDescent="0.25">
      <c r="A15" s="14" t="s">
        <v>148</v>
      </c>
      <c r="B15" t="s">
        <v>151</v>
      </c>
    </row>
    <row r="16" spans="1:2" x14ac:dyDescent="0.25">
      <c r="A16" s="14"/>
      <c r="B16" t="s">
        <v>152</v>
      </c>
    </row>
    <row r="18" spans="1:8" x14ac:dyDescent="0.25">
      <c r="A18" s="14" t="s">
        <v>149</v>
      </c>
    </row>
    <row r="19" spans="1:8" x14ac:dyDescent="0.25">
      <c r="A19" s="14"/>
    </row>
    <row r="20" spans="1:8" x14ac:dyDescent="0.25">
      <c r="A20" s="28" t="s">
        <v>153</v>
      </c>
      <c r="B20" s="10" t="s">
        <v>154</v>
      </c>
      <c r="C20" s="10" t="s">
        <v>155</v>
      </c>
      <c r="D20" s="10" t="s">
        <v>156</v>
      </c>
      <c r="E20" s="10" t="s">
        <v>157</v>
      </c>
    </row>
    <row r="21" spans="1:8" x14ac:dyDescent="0.25">
      <c r="A21" s="25">
        <v>48</v>
      </c>
      <c r="B21" s="9">
        <v>27</v>
      </c>
      <c r="C21" s="9">
        <f>+B21-27</f>
        <v>0</v>
      </c>
      <c r="D21" s="9">
        <f>+C21</f>
        <v>0</v>
      </c>
      <c r="E21" s="9"/>
    </row>
    <row r="22" spans="1:8" x14ac:dyDescent="0.25">
      <c r="A22" s="25">
        <v>49</v>
      </c>
      <c r="B22" s="9">
        <v>28</v>
      </c>
      <c r="C22" s="9">
        <f t="shared" ref="C22:C25" si="0">+B22-27</f>
        <v>1</v>
      </c>
      <c r="D22" s="9">
        <f>+C22</f>
        <v>1</v>
      </c>
      <c r="E22" s="9"/>
      <c r="F22" s="20" t="s">
        <v>326</v>
      </c>
    </row>
    <row r="23" spans="1:8" x14ac:dyDescent="0.25">
      <c r="A23" s="25">
        <v>50</v>
      </c>
      <c r="B23" s="9">
        <v>29</v>
      </c>
      <c r="C23" s="9">
        <f t="shared" si="0"/>
        <v>2</v>
      </c>
      <c r="D23" s="9">
        <f>+C23</f>
        <v>2</v>
      </c>
      <c r="E23" s="9"/>
      <c r="F23" s="20" t="s">
        <v>158</v>
      </c>
    </row>
    <row r="24" spans="1:8" x14ac:dyDescent="0.25">
      <c r="A24" s="25">
        <v>51</v>
      </c>
      <c r="B24" s="9">
        <v>31</v>
      </c>
      <c r="C24" s="9">
        <f t="shared" si="0"/>
        <v>4</v>
      </c>
      <c r="D24" s="9">
        <f>27*10%</f>
        <v>2.7</v>
      </c>
      <c r="E24" s="9">
        <f>+C24-D24</f>
        <v>1.2999999999999998</v>
      </c>
      <c r="F24" s="20" t="s">
        <v>159</v>
      </c>
    </row>
    <row r="25" spans="1:8" x14ac:dyDescent="0.25">
      <c r="A25" s="26">
        <v>52</v>
      </c>
      <c r="B25" s="9">
        <v>27</v>
      </c>
      <c r="C25" s="9">
        <f t="shared" si="0"/>
        <v>0</v>
      </c>
      <c r="D25" s="9">
        <f>+C25</f>
        <v>0</v>
      </c>
      <c r="E25" s="9"/>
    </row>
    <row r="26" spans="1:8" x14ac:dyDescent="0.25">
      <c r="B26" s="9" t="s">
        <v>5</v>
      </c>
      <c r="C26" s="27">
        <f>SUM(C21:C25)</f>
        <v>7</v>
      </c>
      <c r="D26" s="27">
        <f t="shared" ref="D26:E26" si="1">SUM(D21:D25)</f>
        <v>5.7</v>
      </c>
      <c r="E26" s="27">
        <f t="shared" si="1"/>
        <v>1.2999999999999998</v>
      </c>
    </row>
    <row r="27" spans="1:8" x14ac:dyDescent="0.25">
      <c r="B27" s="2"/>
      <c r="C27" s="29"/>
      <c r="D27" s="29"/>
      <c r="E27" s="29"/>
    </row>
    <row r="28" spans="1:8" x14ac:dyDescent="0.25">
      <c r="A28" s="16" t="s">
        <v>150</v>
      </c>
    </row>
    <row r="31" spans="1:8" x14ac:dyDescent="0.25">
      <c r="A31" t="s">
        <v>7</v>
      </c>
      <c r="C31">
        <v>1432.08</v>
      </c>
      <c r="E31" t="s">
        <v>359</v>
      </c>
      <c r="H31">
        <f>1432.08/117</f>
        <v>12.24</v>
      </c>
    </row>
    <row r="32" spans="1:8" x14ac:dyDescent="0.25">
      <c r="A32" t="s">
        <v>8</v>
      </c>
      <c r="C32">
        <f>H31*1.1</f>
        <v>13.464000000000002</v>
      </c>
      <c r="E32" t="s">
        <v>360</v>
      </c>
    </row>
    <row r="33" spans="1:7" x14ac:dyDescent="0.25">
      <c r="A33" t="s">
        <v>9</v>
      </c>
      <c r="C33">
        <f>H31*1.25</f>
        <v>15.3</v>
      </c>
      <c r="E33" t="s">
        <v>361</v>
      </c>
    </row>
    <row r="36" spans="1:7" x14ac:dyDescent="0.25">
      <c r="B36" s="9" t="s">
        <v>10</v>
      </c>
      <c r="C36" s="9" t="s">
        <v>11</v>
      </c>
      <c r="D36" s="9" t="s">
        <v>5</v>
      </c>
      <c r="G36" s="20" t="s">
        <v>160</v>
      </c>
    </row>
    <row r="37" spans="1:7" x14ac:dyDescent="0.25">
      <c r="A37" s="9" t="s">
        <v>6</v>
      </c>
      <c r="B37" s="9">
        <v>117</v>
      </c>
      <c r="C37" s="11">
        <f>+H31</f>
        <v>12.24</v>
      </c>
      <c r="D37" s="11">
        <f>B37*C37</f>
        <v>1432.08</v>
      </c>
    </row>
    <row r="38" spans="1:7" x14ac:dyDescent="0.25">
      <c r="A38" s="9" t="s">
        <v>161</v>
      </c>
      <c r="B38" s="9"/>
      <c r="C38" s="30">
        <v>0.02</v>
      </c>
      <c r="D38" s="11">
        <f>+C38*D37</f>
        <v>28.6416</v>
      </c>
      <c r="E38" t="s">
        <v>162</v>
      </c>
    </row>
    <row r="39" spans="1:7" x14ac:dyDescent="0.25">
      <c r="A39" s="9" t="s">
        <v>163</v>
      </c>
      <c r="B39" s="9">
        <f>+D26</f>
        <v>5.7</v>
      </c>
      <c r="C39" s="11">
        <f>+C32</f>
        <v>13.464000000000002</v>
      </c>
      <c r="D39" s="11">
        <f>+B39*C39</f>
        <v>76.744800000000012</v>
      </c>
    </row>
    <row r="40" spans="1:7" x14ac:dyDescent="0.25">
      <c r="A40" s="9" t="s">
        <v>164</v>
      </c>
      <c r="B40" s="9">
        <f>+E26</f>
        <v>1.2999999999999998</v>
      </c>
      <c r="C40" s="11">
        <f>+C33</f>
        <v>15.3</v>
      </c>
      <c r="D40" s="11">
        <f>+C40*B40</f>
        <v>19.889999999999997</v>
      </c>
    </row>
    <row r="41" spans="1:7" x14ac:dyDescent="0.25">
      <c r="A41" s="9" t="s">
        <v>12</v>
      </c>
      <c r="B41" s="9"/>
      <c r="C41" s="9"/>
      <c r="D41" s="12">
        <f>D40+D39+D37+D38</f>
        <v>1557.3563999999999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="65" workbookViewId="0">
      <selection activeCell="A22" sqref="A22:F27"/>
    </sheetView>
  </sheetViews>
  <sheetFormatPr baseColWidth="10" defaultRowHeight="15" x14ac:dyDescent="0.25"/>
  <cols>
    <col min="1" max="1" width="20.42578125" customWidth="1"/>
    <col min="2" max="2" width="14.85546875" customWidth="1"/>
    <col min="4" max="4" width="18.28515625" customWidth="1"/>
    <col min="5" max="5" width="12" customWidth="1"/>
    <col min="6" max="6" width="11.42578125" bestFit="1" customWidth="1"/>
    <col min="7" max="7" width="32.42578125" bestFit="1" customWidth="1"/>
    <col min="8" max="8" width="16.140625" customWidth="1"/>
  </cols>
  <sheetData>
    <row r="1" spans="1:9" x14ac:dyDescent="0.25">
      <c r="A1" t="s">
        <v>171</v>
      </c>
    </row>
    <row r="4" spans="1:9" x14ac:dyDescent="0.25">
      <c r="A4" s="16" t="s">
        <v>323</v>
      </c>
    </row>
    <row r="5" spans="1:9" x14ac:dyDescent="0.25">
      <c r="D5" s="8"/>
    </row>
    <row r="6" spans="1:9" x14ac:dyDescent="0.25">
      <c r="A6" t="s">
        <v>324</v>
      </c>
      <c r="D6" s="8"/>
    </row>
    <row r="7" spans="1:9" x14ac:dyDescent="0.25">
      <c r="D7" s="8"/>
    </row>
    <row r="8" spans="1:9" x14ac:dyDescent="0.25">
      <c r="B8" t="s">
        <v>166</v>
      </c>
      <c r="C8" t="s">
        <v>168</v>
      </c>
      <c r="D8" s="8" t="s">
        <v>174</v>
      </c>
      <c r="F8" s="31">
        <f>359850/5592800</f>
        <v>6.4341653554570166E-2</v>
      </c>
      <c r="G8" t="s">
        <v>173</v>
      </c>
    </row>
    <row r="9" spans="1:9" x14ac:dyDescent="0.25">
      <c r="B9" t="s">
        <v>167</v>
      </c>
      <c r="D9" s="8" t="s">
        <v>172</v>
      </c>
    </row>
    <row r="10" spans="1:9" x14ac:dyDescent="0.25">
      <c r="B10" t="s">
        <v>170</v>
      </c>
      <c r="D10" s="8"/>
      <c r="G10" t="s">
        <v>176</v>
      </c>
      <c r="I10">
        <f>20%*1690000</f>
        <v>338000</v>
      </c>
    </row>
    <row r="11" spans="1:9" x14ac:dyDescent="0.25">
      <c r="D11" s="8"/>
      <c r="G11" t="s">
        <v>177</v>
      </c>
    </row>
    <row r="12" spans="1:9" x14ac:dyDescent="0.25">
      <c r="D12" s="8"/>
    </row>
    <row r="15" spans="1:9" x14ac:dyDescent="0.25">
      <c r="A15" t="s">
        <v>165</v>
      </c>
      <c r="E15" t="s">
        <v>169</v>
      </c>
      <c r="F15" t="s">
        <v>175</v>
      </c>
      <c r="H15" s="6">
        <f>3%*3250000</f>
        <v>97500</v>
      </c>
    </row>
    <row r="20" spans="1:10" x14ac:dyDescent="0.25">
      <c r="A20" s="16" t="s">
        <v>178</v>
      </c>
    </row>
    <row r="22" spans="1:10" x14ac:dyDescent="0.25">
      <c r="A22" s="1"/>
      <c r="B22" s="1"/>
      <c r="C22" s="1"/>
      <c r="D22" s="2" t="s">
        <v>179</v>
      </c>
      <c r="E22" s="3"/>
      <c r="F22" s="3"/>
    </row>
    <row r="23" spans="1:10" x14ac:dyDescent="0.25">
      <c r="A23" t="s">
        <v>13</v>
      </c>
      <c r="E23" s="4" t="s">
        <v>2</v>
      </c>
      <c r="F23" s="4" t="s">
        <v>3</v>
      </c>
    </row>
    <row r="24" spans="1:10" x14ac:dyDescent="0.25">
      <c r="B24">
        <v>648700</v>
      </c>
      <c r="C24" t="s">
        <v>180</v>
      </c>
      <c r="E24" s="5">
        <f>H15</f>
        <v>97500</v>
      </c>
      <c r="F24" s="5"/>
    </row>
    <row r="25" spans="1:10" x14ac:dyDescent="0.25">
      <c r="C25" t="s">
        <v>181</v>
      </c>
      <c r="E25" s="5"/>
      <c r="F25" s="5">
        <f>E24</f>
        <v>97500</v>
      </c>
    </row>
    <row r="26" spans="1:10" x14ac:dyDescent="0.25">
      <c r="E26" s="5"/>
      <c r="F26" s="5"/>
    </row>
    <row r="27" spans="1:10" x14ac:dyDescent="0.25">
      <c r="A27" t="s">
        <v>182</v>
      </c>
    </row>
    <row r="29" spans="1:10" x14ac:dyDescent="0.25">
      <c r="A29" s="14" t="s">
        <v>183</v>
      </c>
    </row>
    <row r="31" spans="1:10" x14ac:dyDescent="0.25">
      <c r="A31" s="32" t="s">
        <v>188</v>
      </c>
      <c r="B31" s="32"/>
      <c r="C31" s="32"/>
      <c r="D31" s="32" t="s">
        <v>189</v>
      </c>
      <c r="E31" s="32"/>
      <c r="F31" s="32"/>
      <c r="G31" s="32"/>
      <c r="H31" s="32"/>
      <c r="I31" s="32"/>
      <c r="J31" s="32"/>
    </row>
    <row r="32" spans="1:10" ht="15" customHeight="1" x14ac:dyDescent="0.25">
      <c r="A32" s="32" t="s">
        <v>190</v>
      </c>
      <c r="B32" s="32"/>
      <c r="C32" s="32"/>
      <c r="D32" s="32"/>
      <c r="E32" s="32"/>
      <c r="F32" s="32"/>
      <c r="G32" s="32"/>
      <c r="H32" s="32"/>
      <c r="I32" s="32"/>
      <c r="J32" s="32"/>
    </row>
    <row r="33" spans="1:10" ht="15" customHeight="1" x14ac:dyDescent="0.25">
      <c r="A33" s="32" t="s">
        <v>191</v>
      </c>
      <c r="B33" s="32"/>
      <c r="C33" s="32"/>
      <c r="D33" s="32"/>
      <c r="E33" s="32"/>
      <c r="F33" s="32"/>
      <c r="G33" s="32"/>
      <c r="H33" s="32"/>
      <c r="I33" s="32"/>
      <c r="J33" s="32"/>
    </row>
    <row r="34" spans="1:10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spans="1:10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ht="14.45" customHeight="1" x14ac:dyDescent="0.25">
      <c r="A36" s="32" t="s">
        <v>184</v>
      </c>
      <c r="B36" s="32"/>
      <c r="C36" s="32"/>
      <c r="D36" s="32"/>
      <c r="E36" s="32"/>
      <c r="F36" s="32"/>
      <c r="G36" s="32"/>
      <c r="H36" s="32"/>
      <c r="I36" s="32"/>
      <c r="J36" s="32"/>
    </row>
    <row r="37" spans="1:10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 ht="14.45" customHeight="1" x14ac:dyDescent="0.25">
      <c r="A38" s="32" t="s">
        <v>192</v>
      </c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14.4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 ht="14.45" customHeight="1" x14ac:dyDescent="0.25">
      <c r="A40" s="32" t="s">
        <v>193</v>
      </c>
      <c r="B40" s="32"/>
      <c r="C40" s="32"/>
      <c r="D40" s="32"/>
      <c r="E40" s="32"/>
      <c r="F40" s="32"/>
      <c r="G40" s="32"/>
      <c r="H40" s="32"/>
      <c r="I40" s="32"/>
      <c r="J40" s="32"/>
    </row>
    <row r="41" spans="1:10" ht="14.45" customHeigh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 ht="14.45" customHeight="1" x14ac:dyDescent="0.25">
      <c r="A42" s="32" t="s">
        <v>166</v>
      </c>
      <c r="B42" s="32" t="s">
        <v>168</v>
      </c>
      <c r="C42" s="33" t="s">
        <v>174</v>
      </c>
      <c r="D42" s="32"/>
      <c r="E42" s="34">
        <f>359850/5592800</f>
        <v>6.4341653554570166E-2</v>
      </c>
      <c r="F42" s="32" t="s">
        <v>173</v>
      </c>
      <c r="G42" s="32"/>
      <c r="H42" s="32"/>
      <c r="I42" s="32"/>
      <c r="J42" s="32"/>
    </row>
    <row r="43" spans="1:10" ht="14.45" customHeight="1" x14ac:dyDescent="0.25">
      <c r="A43" s="32" t="s">
        <v>167</v>
      </c>
      <c r="B43" s="32"/>
      <c r="C43" s="33" t="s">
        <v>172</v>
      </c>
      <c r="D43" s="32"/>
      <c r="E43" s="32"/>
      <c r="F43" s="32"/>
      <c r="G43" s="32"/>
      <c r="H43" s="32"/>
      <c r="I43" s="32"/>
      <c r="J43" s="32"/>
    </row>
    <row r="44" spans="1:10" ht="14.45" customHeight="1" x14ac:dyDescent="0.25">
      <c r="A44" s="32" t="s">
        <v>170</v>
      </c>
      <c r="B44" s="32"/>
      <c r="C44" s="33"/>
      <c r="D44" s="32"/>
      <c r="E44" s="32"/>
      <c r="F44" s="32" t="s">
        <v>176</v>
      </c>
      <c r="G44" s="32"/>
      <c r="H44" s="32"/>
      <c r="I44" s="32"/>
      <c r="J44" s="32"/>
    </row>
    <row r="45" spans="1:10" ht="14.45" customHeight="1" x14ac:dyDescent="0.25">
      <c r="A45" s="32"/>
      <c r="B45" s="32"/>
      <c r="C45" s="33"/>
      <c r="D45" s="32"/>
      <c r="E45" s="32"/>
      <c r="F45" s="32" t="s">
        <v>177</v>
      </c>
      <c r="G45" s="32"/>
      <c r="H45" s="32"/>
      <c r="I45" s="32"/>
      <c r="J45" s="32"/>
    </row>
    <row r="46" spans="1:10" ht="14.45" customHeight="1" x14ac:dyDescent="0.25">
      <c r="A46" s="32" t="s">
        <v>194</v>
      </c>
      <c r="B46" s="32"/>
      <c r="C46" s="32"/>
      <c r="D46" s="32"/>
      <c r="E46" s="32"/>
      <c r="F46" s="32"/>
      <c r="G46" s="32"/>
      <c r="H46" s="32"/>
      <c r="I46" s="32"/>
      <c r="J46" s="32"/>
    </row>
    <row r="47" spans="1:10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x14ac:dyDescent="0.25">
      <c r="A48" s="32" t="s">
        <v>185</v>
      </c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15" customHeight="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x14ac:dyDescent="0.25">
      <c r="A50" s="32" t="s">
        <v>186</v>
      </c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x14ac:dyDescent="0.25">
      <c r="A52" s="32" t="s">
        <v>187</v>
      </c>
      <c r="B52" s="32"/>
      <c r="C52" s="32"/>
      <c r="D52" s="32"/>
      <c r="E52" s="32"/>
      <c r="F52" s="32"/>
      <c r="G52" s="32"/>
      <c r="H52" s="32"/>
      <c r="I52" s="32"/>
      <c r="J52" s="3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7"/>
  <sheetViews>
    <sheetView topLeftCell="A30" zoomScale="73" workbookViewId="0">
      <selection activeCell="H43" sqref="H43:I51"/>
    </sheetView>
  </sheetViews>
  <sheetFormatPr baseColWidth="10" defaultRowHeight="15" x14ac:dyDescent="0.25"/>
  <sheetData>
    <row r="2" spans="1:2" x14ac:dyDescent="0.25">
      <c r="A2" s="14" t="s">
        <v>330</v>
      </c>
      <c r="B2" t="s">
        <v>331</v>
      </c>
    </row>
    <row r="4" spans="1:2" x14ac:dyDescent="0.25">
      <c r="A4" s="14" t="s">
        <v>332</v>
      </c>
    </row>
    <row r="6" spans="1:2" x14ac:dyDescent="0.25">
      <c r="A6" s="13" t="s">
        <v>339</v>
      </c>
    </row>
    <row r="7" spans="1:2" x14ac:dyDescent="0.25">
      <c r="A7" s="13" t="s">
        <v>333</v>
      </c>
    </row>
    <row r="8" spans="1:2" x14ac:dyDescent="0.25">
      <c r="A8" s="13" t="s">
        <v>358</v>
      </c>
    </row>
    <row r="9" spans="1:2" x14ac:dyDescent="0.25">
      <c r="A9" s="13" t="s">
        <v>338</v>
      </c>
    </row>
    <row r="10" spans="1:2" x14ac:dyDescent="0.25">
      <c r="A10" s="19" t="s">
        <v>334</v>
      </c>
    </row>
    <row r="12" spans="1:2" x14ac:dyDescent="0.25">
      <c r="A12" s="14" t="s">
        <v>335</v>
      </c>
    </row>
    <row r="14" spans="1:2" x14ac:dyDescent="0.25">
      <c r="A14" s="13" t="s">
        <v>356</v>
      </c>
    </row>
    <row r="15" spans="1:2" x14ac:dyDescent="0.25">
      <c r="A15" t="s">
        <v>357</v>
      </c>
    </row>
    <row r="17" spans="1:2" x14ac:dyDescent="0.25">
      <c r="A17" s="14" t="s">
        <v>336</v>
      </c>
    </row>
    <row r="19" spans="1:2" x14ac:dyDescent="0.25">
      <c r="A19" t="s">
        <v>340</v>
      </c>
    </row>
    <row r="20" spans="1:2" x14ac:dyDescent="0.25">
      <c r="A20" t="s">
        <v>337</v>
      </c>
    </row>
    <row r="21" spans="1:2" x14ac:dyDescent="0.25">
      <c r="A21" t="s">
        <v>345</v>
      </c>
    </row>
    <row r="22" spans="1:2" x14ac:dyDescent="0.25">
      <c r="A22" t="s">
        <v>353</v>
      </c>
    </row>
    <row r="23" spans="1:2" x14ac:dyDescent="0.25">
      <c r="B23" t="s">
        <v>341</v>
      </c>
    </row>
    <row r="24" spans="1:2" x14ac:dyDescent="0.25">
      <c r="B24" t="s">
        <v>342</v>
      </c>
    </row>
    <row r="25" spans="1:2" x14ac:dyDescent="0.25">
      <c r="B25" t="s">
        <v>346</v>
      </c>
    </row>
    <row r="26" spans="1:2" x14ac:dyDescent="0.25">
      <c r="B26" t="s">
        <v>343</v>
      </c>
    </row>
    <row r="27" spans="1:2" x14ac:dyDescent="0.25">
      <c r="B27" t="s">
        <v>344</v>
      </c>
    </row>
    <row r="28" spans="1:2" x14ac:dyDescent="0.25">
      <c r="B28" t="s">
        <v>348</v>
      </c>
    </row>
    <row r="29" spans="1:2" x14ac:dyDescent="0.25">
      <c r="B29" t="s">
        <v>347</v>
      </c>
    </row>
    <row r="30" spans="1:2" x14ac:dyDescent="0.25">
      <c r="B30" t="s">
        <v>349</v>
      </c>
    </row>
    <row r="31" spans="1:2" x14ac:dyDescent="0.25">
      <c r="B31" t="s">
        <v>350</v>
      </c>
    </row>
    <row r="32" spans="1:2" x14ac:dyDescent="0.25">
      <c r="B32" t="s">
        <v>351</v>
      </c>
    </row>
    <row r="33" spans="1:2" x14ac:dyDescent="0.25">
      <c r="B33" t="s">
        <v>352</v>
      </c>
    </row>
    <row r="34" spans="1:2" x14ac:dyDescent="0.25">
      <c r="B34" t="s">
        <v>349</v>
      </c>
    </row>
    <row r="35" spans="1:2" x14ac:dyDescent="0.25">
      <c r="A35" t="s">
        <v>355</v>
      </c>
    </row>
    <row r="37" spans="1:2" x14ac:dyDescent="0.25">
      <c r="A37" s="14" t="s">
        <v>354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0"/>
  <sheetViews>
    <sheetView topLeftCell="A87" zoomScale="72" workbookViewId="0">
      <selection activeCell="C120" sqref="C120"/>
    </sheetView>
  </sheetViews>
  <sheetFormatPr baseColWidth="10" defaultRowHeight="15" x14ac:dyDescent="0.25"/>
  <cols>
    <col min="1" max="1" width="14.85546875" customWidth="1"/>
    <col min="4" max="4" width="11.5703125" bestFit="1" customWidth="1"/>
  </cols>
  <sheetData>
    <row r="2" spans="1:11" x14ac:dyDescent="0.25">
      <c r="A2" s="2"/>
      <c r="B2" s="2"/>
      <c r="C2" s="2"/>
      <c r="D2" s="2"/>
      <c r="E2" s="2"/>
      <c r="F2" s="2"/>
      <c r="G2" s="2"/>
    </row>
    <row r="3" spans="1:11" x14ac:dyDescent="0.25">
      <c r="A3" s="1" t="s">
        <v>212</v>
      </c>
      <c r="B3" s="1"/>
      <c r="C3" s="1"/>
      <c r="D3" s="2" t="s">
        <v>206</v>
      </c>
      <c r="E3" s="3"/>
      <c r="F3" s="3"/>
      <c r="G3" s="2"/>
      <c r="I3" s="20" t="s">
        <v>320</v>
      </c>
    </row>
    <row r="4" spans="1:11" x14ac:dyDescent="0.25">
      <c r="A4" t="s">
        <v>16</v>
      </c>
      <c r="E4" s="4" t="s">
        <v>2</v>
      </c>
      <c r="F4" s="4" t="s">
        <v>3</v>
      </c>
      <c r="G4" s="2"/>
      <c r="I4" s="20" t="s">
        <v>208</v>
      </c>
    </row>
    <row r="5" spans="1:11" x14ac:dyDescent="0.25">
      <c r="B5">
        <v>471000</v>
      </c>
      <c r="C5" t="s">
        <v>226</v>
      </c>
      <c r="E5" s="5">
        <v>3119</v>
      </c>
      <c r="F5" s="5"/>
      <c r="G5" s="2"/>
      <c r="I5" s="20" t="s">
        <v>209</v>
      </c>
    </row>
    <row r="6" spans="1:11" x14ac:dyDescent="0.25">
      <c r="B6">
        <v>627000</v>
      </c>
      <c r="C6" t="s">
        <v>321</v>
      </c>
      <c r="E6" s="24">
        <v>5</v>
      </c>
      <c r="F6" s="7"/>
      <c r="G6" s="2"/>
      <c r="I6" s="20" t="s">
        <v>210</v>
      </c>
    </row>
    <row r="7" spans="1:11" x14ac:dyDescent="0.25">
      <c r="B7">
        <v>445662</v>
      </c>
      <c r="C7" t="s">
        <v>1</v>
      </c>
      <c r="E7" s="5">
        <v>1</v>
      </c>
      <c r="F7" s="5"/>
      <c r="G7" s="2"/>
      <c r="K7" s="20" t="s">
        <v>22</v>
      </c>
    </row>
    <row r="8" spans="1:11" x14ac:dyDescent="0.25">
      <c r="A8" t="s">
        <v>211</v>
      </c>
      <c r="C8">
        <v>775000</v>
      </c>
      <c r="D8" t="s">
        <v>207</v>
      </c>
      <c r="E8" s="5"/>
      <c r="F8" s="5">
        <f>+SUM(E5:E7)</f>
        <v>3125</v>
      </c>
      <c r="G8" s="2"/>
    </row>
    <row r="9" spans="1:11" x14ac:dyDescent="0.25">
      <c r="A9" s="2"/>
      <c r="B9" s="2"/>
      <c r="C9" s="2"/>
      <c r="D9" s="2"/>
      <c r="E9" s="17"/>
      <c r="F9" s="17"/>
      <c r="G9" s="2"/>
    </row>
    <row r="10" spans="1:11" x14ac:dyDescent="0.25">
      <c r="A10" s="13" t="s">
        <v>124</v>
      </c>
      <c r="B10" s="2"/>
      <c r="C10" s="2"/>
      <c r="D10" s="2"/>
      <c r="E10" s="17"/>
      <c r="F10" s="17"/>
      <c r="G10" s="2"/>
    </row>
    <row r="11" spans="1:11" x14ac:dyDescent="0.25">
      <c r="A11" s="2"/>
      <c r="B11" s="2"/>
      <c r="C11" s="2"/>
      <c r="D11" s="2"/>
      <c r="E11" s="17"/>
      <c r="F11" s="17"/>
      <c r="G11" s="2"/>
    </row>
    <row r="12" spans="1:11" x14ac:dyDescent="0.25">
      <c r="A12" s="2"/>
      <c r="B12" s="2"/>
      <c r="C12" s="2"/>
      <c r="D12" s="2"/>
      <c r="E12" s="2"/>
      <c r="F12" s="2"/>
      <c r="G12" s="2"/>
      <c r="I12" s="20" t="s">
        <v>216</v>
      </c>
    </row>
    <row r="13" spans="1:11" x14ac:dyDescent="0.25">
      <c r="A13" s="38" t="s">
        <v>213</v>
      </c>
      <c r="B13" s="2"/>
      <c r="C13" s="2"/>
      <c r="D13" s="2"/>
      <c r="E13" s="2"/>
      <c r="F13" s="2"/>
      <c r="G13" s="2"/>
      <c r="I13" s="20" t="s">
        <v>217</v>
      </c>
    </row>
    <row r="14" spans="1:11" x14ac:dyDescent="0.25">
      <c r="I14" s="20"/>
    </row>
    <row r="15" spans="1:11" x14ac:dyDescent="0.25">
      <c r="A15" s="1"/>
      <c r="B15" s="1"/>
      <c r="C15" s="1"/>
      <c r="D15" s="2" t="s">
        <v>206</v>
      </c>
      <c r="E15" s="3"/>
      <c r="F15" s="3"/>
      <c r="G15" s="2"/>
      <c r="I15" s="20" t="s">
        <v>218</v>
      </c>
    </row>
    <row r="16" spans="1:11" x14ac:dyDescent="0.25">
      <c r="A16" t="s">
        <v>13</v>
      </c>
      <c r="E16" s="4" t="s">
        <v>2</v>
      </c>
      <c r="F16" s="4" t="s">
        <v>3</v>
      </c>
      <c r="G16" s="2"/>
      <c r="I16" s="20" t="s">
        <v>219</v>
      </c>
    </row>
    <row r="17" spans="1:14" x14ac:dyDescent="0.25">
      <c r="E17" s="5"/>
      <c r="F17" s="5"/>
      <c r="G17" s="2"/>
      <c r="I17" s="20" t="s">
        <v>220</v>
      </c>
    </row>
    <row r="18" spans="1:14" x14ac:dyDescent="0.25">
      <c r="A18">
        <v>675000</v>
      </c>
      <c r="B18" t="s">
        <v>214</v>
      </c>
      <c r="E18" s="24">
        <f>+F19</f>
        <v>2750</v>
      </c>
      <c r="F18" s="7"/>
      <c r="G18" s="2"/>
      <c r="I18" s="20" t="s">
        <v>221</v>
      </c>
    </row>
    <row r="19" spans="1:14" x14ac:dyDescent="0.25">
      <c r="B19">
        <v>271005</v>
      </c>
      <c r="C19" t="s">
        <v>195</v>
      </c>
      <c r="E19" s="5"/>
      <c r="F19" s="5">
        <f>25*110</f>
        <v>2750</v>
      </c>
      <c r="G19" s="2"/>
      <c r="I19" s="20" t="s">
        <v>222</v>
      </c>
    </row>
    <row r="20" spans="1:14" x14ac:dyDescent="0.25">
      <c r="E20" s="5"/>
      <c r="F20" s="5"/>
      <c r="G20" s="2"/>
      <c r="N20" s="20" t="s">
        <v>22</v>
      </c>
    </row>
    <row r="21" spans="1:14" x14ac:dyDescent="0.25">
      <c r="A21" t="s">
        <v>215</v>
      </c>
      <c r="M21" s="14"/>
    </row>
    <row r="23" spans="1:14" x14ac:dyDescent="0.25">
      <c r="A23" s="13" t="s">
        <v>124</v>
      </c>
    </row>
    <row r="24" spans="1:14" x14ac:dyDescent="0.25">
      <c r="A24" s="36"/>
      <c r="B24" s="2"/>
      <c r="C24" s="2"/>
      <c r="D24" s="2"/>
      <c r="E24" s="2"/>
      <c r="F24" s="2"/>
      <c r="G24" s="2"/>
    </row>
    <row r="25" spans="1:14" x14ac:dyDescent="0.25">
      <c r="A25" s="37"/>
      <c r="B25" s="37" t="s">
        <v>197</v>
      </c>
      <c r="C25" s="37" t="s">
        <v>198</v>
      </c>
      <c r="D25" s="37" t="s">
        <v>199</v>
      </c>
      <c r="E25" s="37" t="s">
        <v>200</v>
      </c>
      <c r="F25" s="37" t="s">
        <v>201</v>
      </c>
      <c r="G25" s="20"/>
      <c r="H25" s="20"/>
      <c r="I25" s="20"/>
      <c r="J25" s="20"/>
      <c r="K25" s="20"/>
    </row>
    <row r="26" spans="1:14" x14ac:dyDescent="0.25">
      <c r="A26" s="37" t="s">
        <v>195</v>
      </c>
      <c r="B26" s="37">
        <f>70-25</f>
        <v>45</v>
      </c>
      <c r="C26" s="37">
        <v>110</v>
      </c>
      <c r="D26" s="37">
        <v>128</v>
      </c>
      <c r="E26" s="37">
        <f>D26-C26</f>
        <v>18</v>
      </c>
      <c r="F26" s="37" t="s">
        <v>202</v>
      </c>
      <c r="G26" s="20"/>
      <c r="H26" s="20"/>
      <c r="I26" s="20"/>
      <c r="J26" s="20"/>
      <c r="K26" s="20"/>
    </row>
    <row r="27" spans="1:14" x14ac:dyDescent="0.25">
      <c r="A27" s="9" t="s">
        <v>196</v>
      </c>
      <c r="B27" s="9">
        <v>50</v>
      </c>
      <c r="C27" s="9">
        <v>60</v>
      </c>
      <c r="D27" s="9">
        <v>55</v>
      </c>
      <c r="E27" s="9">
        <f>D27-C27</f>
        <v>-5</v>
      </c>
      <c r="F27" s="9">
        <f>5*B27</f>
        <v>250</v>
      </c>
    </row>
    <row r="28" spans="1:14" x14ac:dyDescent="0.25">
      <c r="A28" s="35"/>
      <c r="B28" s="2"/>
      <c r="C28" s="2"/>
      <c r="D28" s="2"/>
      <c r="E28" s="2"/>
      <c r="F28" s="2"/>
      <c r="G28" s="2"/>
    </row>
    <row r="29" spans="1:14" x14ac:dyDescent="0.25">
      <c r="A29" s="38" t="s">
        <v>203</v>
      </c>
      <c r="B29" s="2"/>
      <c r="C29" s="2"/>
      <c r="D29" s="2"/>
      <c r="E29" s="2"/>
      <c r="F29" s="2"/>
      <c r="G29" s="2"/>
    </row>
    <row r="30" spans="1:14" x14ac:dyDescent="0.25">
      <c r="A30" s="2" t="s">
        <v>204</v>
      </c>
      <c r="B30" s="2"/>
      <c r="C30" s="2"/>
      <c r="D30" s="2"/>
      <c r="E30" s="2"/>
      <c r="F30" s="2"/>
      <c r="G30" s="2"/>
    </row>
    <row r="31" spans="1:14" x14ac:dyDescent="0.25">
      <c r="A31" s="2"/>
      <c r="B31" s="2"/>
      <c r="C31" s="2"/>
      <c r="D31" s="2"/>
      <c r="E31" s="17"/>
      <c r="F31" s="17"/>
      <c r="G31" s="2"/>
    </row>
    <row r="32" spans="1:14" x14ac:dyDescent="0.25">
      <c r="A32" s="13" t="s">
        <v>205</v>
      </c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1"/>
      <c r="B34" s="1"/>
      <c r="C34" s="1"/>
      <c r="D34" s="2" t="s">
        <v>179</v>
      </c>
      <c r="E34" s="3"/>
      <c r="F34" s="3"/>
      <c r="G34" s="2"/>
    </row>
    <row r="35" spans="1:7" x14ac:dyDescent="0.25">
      <c r="A35" t="s">
        <v>13</v>
      </c>
      <c r="E35" s="4" t="s">
        <v>2</v>
      </c>
      <c r="F35" s="4" t="s">
        <v>3</v>
      </c>
      <c r="G35" s="2"/>
    </row>
    <row r="36" spans="1:7" x14ac:dyDescent="0.25">
      <c r="E36" s="5"/>
      <c r="F36" s="5"/>
      <c r="G36" s="2"/>
    </row>
    <row r="37" spans="1:7" x14ac:dyDescent="0.25">
      <c r="A37">
        <v>686650</v>
      </c>
      <c r="B37" t="s">
        <v>224</v>
      </c>
      <c r="E37" s="24">
        <f>+F38</f>
        <v>250</v>
      </c>
      <c r="F37" s="7"/>
      <c r="G37" s="2"/>
    </row>
    <row r="38" spans="1:7" x14ac:dyDescent="0.25">
      <c r="B38">
        <v>590310</v>
      </c>
      <c r="C38" t="s">
        <v>223</v>
      </c>
      <c r="E38" s="5"/>
      <c r="F38" s="5">
        <f>F27</f>
        <v>250</v>
      </c>
      <c r="G38" s="2"/>
    </row>
    <row r="39" spans="1:7" x14ac:dyDescent="0.25">
      <c r="A39" t="s">
        <v>225</v>
      </c>
      <c r="E39" s="5"/>
      <c r="F39" s="5"/>
      <c r="G39" s="2"/>
    </row>
    <row r="42" spans="1:7" x14ac:dyDescent="0.25">
      <c r="A42" s="16" t="s">
        <v>227</v>
      </c>
    </row>
    <row r="44" spans="1:7" x14ac:dyDescent="0.25">
      <c r="A44" s="38" t="s">
        <v>203</v>
      </c>
    </row>
    <row r="45" spans="1:7" x14ac:dyDescent="0.25">
      <c r="A45" s="2" t="s">
        <v>204</v>
      </c>
    </row>
    <row r="47" spans="1:7" x14ac:dyDescent="0.25">
      <c r="A47" s="20" t="s">
        <v>228</v>
      </c>
    </row>
    <row r="48" spans="1:7" x14ac:dyDescent="0.25">
      <c r="A48" s="20" t="s">
        <v>229</v>
      </c>
    </row>
    <row r="49" spans="1:6" x14ac:dyDescent="0.25">
      <c r="A49" s="20" t="s">
        <v>230</v>
      </c>
    </row>
    <row r="50" spans="1:6" x14ac:dyDescent="0.25">
      <c r="A50" s="20" t="s">
        <v>231</v>
      </c>
    </row>
    <row r="51" spans="1:6" x14ac:dyDescent="0.25">
      <c r="A51" s="20" t="s">
        <v>232</v>
      </c>
    </row>
    <row r="52" spans="1:6" x14ac:dyDescent="0.25">
      <c r="A52" s="20" t="s">
        <v>233</v>
      </c>
    </row>
    <row r="53" spans="1:6" x14ac:dyDescent="0.25">
      <c r="A53" s="20" t="s">
        <v>234</v>
      </c>
      <c r="E53" s="20" t="s">
        <v>22</v>
      </c>
    </row>
    <row r="55" spans="1:6" x14ac:dyDescent="0.25">
      <c r="A55" t="s">
        <v>236</v>
      </c>
    </row>
    <row r="56" spans="1:6" x14ac:dyDescent="0.25">
      <c r="A56" t="s">
        <v>235</v>
      </c>
    </row>
    <row r="57" spans="1:6" x14ac:dyDescent="0.25">
      <c r="A57" t="s">
        <v>237</v>
      </c>
    </row>
    <row r="59" spans="1:6" x14ac:dyDescent="0.25">
      <c r="A59" s="1"/>
      <c r="B59" s="1"/>
      <c r="C59" s="1"/>
      <c r="D59" s="2" t="s">
        <v>179</v>
      </c>
      <c r="E59" s="3"/>
      <c r="F59" s="3"/>
    </row>
    <row r="60" spans="1:6" x14ac:dyDescent="0.25">
      <c r="A60" t="s">
        <v>13</v>
      </c>
      <c r="E60" s="4" t="s">
        <v>2</v>
      </c>
      <c r="F60" s="4" t="s">
        <v>3</v>
      </c>
    </row>
    <row r="61" spans="1:6" x14ac:dyDescent="0.25">
      <c r="E61" s="5"/>
      <c r="F61" s="5"/>
    </row>
    <row r="62" spans="1:6" x14ac:dyDescent="0.25">
      <c r="A62" t="s">
        <v>259</v>
      </c>
      <c r="B62" t="s">
        <v>238</v>
      </c>
      <c r="E62" s="24">
        <v>2532</v>
      </c>
      <c r="F62" s="7"/>
    </row>
    <row r="63" spans="1:6" x14ac:dyDescent="0.25">
      <c r="B63" t="s">
        <v>239</v>
      </c>
      <c r="C63" t="s">
        <v>240</v>
      </c>
      <c r="E63" s="5"/>
      <c r="F63" s="5">
        <f>+E62</f>
        <v>2532</v>
      </c>
    </row>
    <row r="64" spans="1:6" x14ac:dyDescent="0.25">
      <c r="A64" t="s">
        <v>241</v>
      </c>
      <c r="E64" s="5"/>
      <c r="F64" s="5"/>
    </row>
    <row r="66" spans="1:11" x14ac:dyDescent="0.25">
      <c r="A66" t="s">
        <v>242</v>
      </c>
    </row>
    <row r="68" spans="1:11" x14ac:dyDescent="0.25">
      <c r="A68" s="9" t="s">
        <v>243</v>
      </c>
      <c r="B68" s="9">
        <v>2532</v>
      </c>
    </row>
    <row r="69" spans="1:11" x14ac:dyDescent="0.25">
      <c r="A69" s="9" t="s">
        <v>244</v>
      </c>
      <c r="B69" s="9">
        <f>+B68/1.055</f>
        <v>2400</v>
      </c>
      <c r="C69" t="s">
        <v>362</v>
      </c>
    </row>
    <row r="70" spans="1:11" x14ac:dyDescent="0.25">
      <c r="A70" s="9" t="s">
        <v>245</v>
      </c>
      <c r="B70" s="9">
        <f>+B69*25%</f>
        <v>600</v>
      </c>
    </row>
    <row r="72" spans="1:11" x14ac:dyDescent="0.25">
      <c r="A72" s="1"/>
      <c r="B72" s="1"/>
      <c r="C72" s="1"/>
      <c r="D72" s="2" t="s">
        <v>179</v>
      </c>
      <c r="E72" s="3"/>
      <c r="F72" s="3"/>
    </row>
    <row r="73" spans="1:11" x14ac:dyDescent="0.25">
      <c r="A73" t="s">
        <v>13</v>
      </c>
      <c r="E73" s="4" t="s">
        <v>2</v>
      </c>
      <c r="F73" s="4" t="s">
        <v>3</v>
      </c>
    </row>
    <row r="74" spans="1:11" x14ac:dyDescent="0.25">
      <c r="E74" s="5"/>
      <c r="F74" s="5"/>
    </row>
    <row r="75" spans="1:11" x14ac:dyDescent="0.25">
      <c r="A75" t="s">
        <v>246</v>
      </c>
      <c r="E75" s="24">
        <f>+B70</f>
        <v>600</v>
      </c>
      <c r="F75" s="7"/>
    </row>
    <row r="76" spans="1:11" x14ac:dyDescent="0.25">
      <c r="B76" t="s">
        <v>247</v>
      </c>
      <c r="E76" s="5"/>
      <c r="F76" s="5">
        <f>+E75</f>
        <v>600</v>
      </c>
    </row>
    <row r="77" spans="1:11" x14ac:dyDescent="0.25">
      <c r="A77" t="s">
        <v>248</v>
      </c>
      <c r="E77" s="5"/>
      <c r="F77" s="5"/>
    </row>
    <row r="79" spans="1:11" x14ac:dyDescent="0.25">
      <c r="A79" s="39" t="s">
        <v>253</v>
      </c>
    </row>
    <row r="80" spans="1:11" x14ac:dyDescent="0.25">
      <c r="K80" s="20" t="s">
        <v>249</v>
      </c>
    </row>
    <row r="81" spans="1:15" x14ac:dyDescent="0.25">
      <c r="A81" s="1"/>
      <c r="B81" s="1"/>
      <c r="C81" s="1"/>
      <c r="D81" s="2" t="s">
        <v>179</v>
      </c>
      <c r="E81" s="3"/>
      <c r="F81" s="3"/>
      <c r="K81" s="20" t="s">
        <v>250</v>
      </c>
    </row>
    <row r="82" spans="1:15" x14ac:dyDescent="0.25">
      <c r="A82" t="s">
        <v>13</v>
      </c>
      <c r="E82" s="18" t="s">
        <v>2</v>
      </c>
      <c r="F82" s="4" t="s">
        <v>3</v>
      </c>
      <c r="K82" s="20" t="s">
        <v>251</v>
      </c>
    </row>
    <row r="83" spans="1:15" x14ac:dyDescent="0.25">
      <c r="D83" s="5"/>
      <c r="E83" s="5"/>
      <c r="F83" s="5"/>
      <c r="K83" s="20" t="s">
        <v>252</v>
      </c>
    </row>
    <row r="84" spans="1:15" x14ac:dyDescent="0.25">
      <c r="A84" t="s">
        <v>247</v>
      </c>
      <c r="D84" s="5"/>
      <c r="E84" s="24">
        <v>500</v>
      </c>
      <c r="F84" s="7"/>
      <c r="O84" s="20" t="s">
        <v>22</v>
      </c>
    </row>
    <row r="85" spans="1:15" x14ac:dyDescent="0.25">
      <c r="B85" t="s">
        <v>254</v>
      </c>
      <c r="F85" s="5">
        <f>+E84</f>
        <v>500</v>
      </c>
    </row>
    <row r="86" spans="1:15" x14ac:dyDescent="0.25">
      <c r="A86" t="s">
        <v>255</v>
      </c>
      <c r="E86" s="5"/>
      <c r="F86" s="5"/>
    </row>
    <row r="89" spans="1:15" x14ac:dyDescent="0.25">
      <c r="A89" s="1"/>
      <c r="B89" s="1"/>
      <c r="C89" s="1"/>
      <c r="D89" s="2" t="s">
        <v>179</v>
      </c>
      <c r="E89" s="3"/>
      <c r="F89" s="3"/>
    </row>
    <row r="90" spans="1:15" x14ac:dyDescent="0.25">
      <c r="A90" t="s">
        <v>13</v>
      </c>
      <c r="E90" s="18" t="s">
        <v>2</v>
      </c>
      <c r="F90" s="4" t="s">
        <v>3</v>
      </c>
    </row>
    <row r="91" spans="1:15" x14ac:dyDescent="0.25">
      <c r="D91" s="5"/>
      <c r="E91" s="5"/>
      <c r="F91" s="5"/>
    </row>
    <row r="92" spans="1:15" x14ac:dyDescent="0.25">
      <c r="A92">
        <v>654000</v>
      </c>
      <c r="B92" t="s">
        <v>256</v>
      </c>
      <c r="C92" s="17"/>
      <c r="E92" s="40">
        <f>844/1.055</f>
        <v>800</v>
      </c>
      <c r="F92" s="7"/>
    </row>
    <row r="93" spans="1:15" x14ac:dyDescent="0.25">
      <c r="A93">
        <v>445510</v>
      </c>
      <c r="B93" t="s">
        <v>257</v>
      </c>
      <c r="E93" s="41">
        <f>E92*0.055</f>
        <v>44</v>
      </c>
      <c r="F93" s="7"/>
    </row>
    <row r="94" spans="1:15" x14ac:dyDescent="0.25">
      <c r="B94" t="s">
        <v>260</v>
      </c>
      <c r="C94" t="s">
        <v>238</v>
      </c>
      <c r="E94" s="41"/>
      <c r="F94" s="7">
        <f>+E93+E92</f>
        <v>844</v>
      </c>
    </row>
    <row r="95" spans="1:15" x14ac:dyDescent="0.25">
      <c r="A95" t="s">
        <v>258</v>
      </c>
    </row>
    <row r="98" spans="1:8" x14ac:dyDescent="0.25">
      <c r="A98" s="13" t="s">
        <v>261</v>
      </c>
    </row>
    <row r="101" spans="1:8" x14ac:dyDescent="0.25">
      <c r="A101" s="16" t="s">
        <v>262</v>
      </c>
    </row>
    <row r="103" spans="1:8" x14ac:dyDescent="0.25">
      <c r="A103" t="s">
        <v>322</v>
      </c>
    </row>
    <row r="105" spans="1:8" x14ac:dyDescent="0.25">
      <c r="A105" s="20" t="s">
        <v>263</v>
      </c>
    </row>
    <row r="106" spans="1:8" x14ac:dyDescent="0.25">
      <c r="A106" s="20" t="s">
        <v>264</v>
      </c>
    </row>
    <row r="107" spans="1:8" x14ac:dyDescent="0.25">
      <c r="A107" s="20" t="s">
        <v>265</v>
      </c>
    </row>
    <row r="108" spans="1:8" x14ac:dyDescent="0.25">
      <c r="A108" s="20" t="s">
        <v>266</v>
      </c>
    </row>
    <row r="109" spans="1:8" x14ac:dyDescent="0.25">
      <c r="A109" s="20" t="s">
        <v>267</v>
      </c>
      <c r="H109" s="20" t="s">
        <v>22</v>
      </c>
    </row>
    <row r="112" spans="1:8" x14ac:dyDescent="0.25">
      <c r="A112" s="20" t="s">
        <v>268</v>
      </c>
    </row>
    <row r="114" spans="1:6" x14ac:dyDescent="0.25">
      <c r="A114" s="1"/>
      <c r="B114" s="1"/>
      <c r="C114" s="1"/>
      <c r="D114" s="2" t="s">
        <v>179</v>
      </c>
      <c r="E114" s="3"/>
      <c r="F114" s="3"/>
    </row>
    <row r="115" spans="1:6" x14ac:dyDescent="0.25">
      <c r="A115" t="s">
        <v>13</v>
      </c>
      <c r="E115" s="18" t="s">
        <v>2</v>
      </c>
      <c r="F115" s="4" t="s">
        <v>3</v>
      </c>
    </row>
    <row r="116" spans="1:6" x14ac:dyDescent="0.25">
      <c r="A116">
        <v>418100</v>
      </c>
      <c r="B116" t="s">
        <v>269</v>
      </c>
      <c r="C116" s="5"/>
      <c r="D116" s="5"/>
      <c r="E116" s="5">
        <f>+F117+F118+F119</f>
        <v>1076.0999999999999</v>
      </c>
      <c r="F116" s="5"/>
    </row>
    <row r="117" spans="1:6" x14ac:dyDescent="0.25">
      <c r="B117">
        <v>701100</v>
      </c>
      <c r="C117" t="s">
        <v>40</v>
      </c>
      <c r="E117" s="42"/>
      <c r="F117" s="7">
        <v>660</v>
      </c>
    </row>
    <row r="118" spans="1:6" x14ac:dyDescent="0.25">
      <c r="B118">
        <v>701500</v>
      </c>
      <c r="C118" t="s">
        <v>270</v>
      </c>
      <c r="E118" s="7"/>
      <c r="F118" s="7">
        <v>360</v>
      </c>
    </row>
    <row r="119" spans="1:6" x14ac:dyDescent="0.25">
      <c r="B119">
        <v>445870</v>
      </c>
      <c r="C119" t="s">
        <v>363</v>
      </c>
      <c r="E119" s="7"/>
      <c r="F119" s="7">
        <v>56.1</v>
      </c>
    </row>
    <row r="121" spans="1:6" x14ac:dyDescent="0.25">
      <c r="A121" t="s">
        <v>271</v>
      </c>
    </row>
    <row r="124" spans="1:6" x14ac:dyDescent="0.25">
      <c r="A124" t="s">
        <v>275</v>
      </c>
    </row>
    <row r="126" spans="1:6" x14ac:dyDescent="0.25">
      <c r="A126" s="20" t="s">
        <v>272</v>
      </c>
    </row>
    <row r="127" spans="1:6" x14ac:dyDescent="0.25">
      <c r="A127" s="20" t="s">
        <v>273</v>
      </c>
    </row>
    <row r="128" spans="1:6" x14ac:dyDescent="0.25">
      <c r="A128" s="20" t="s">
        <v>274</v>
      </c>
      <c r="F128" s="20" t="s">
        <v>22</v>
      </c>
    </row>
    <row r="130" spans="1:6" x14ac:dyDescent="0.25">
      <c r="A130" s="1"/>
      <c r="B130" s="1"/>
      <c r="C130" s="1"/>
      <c r="D130" s="2" t="s">
        <v>179</v>
      </c>
      <c r="E130" s="3"/>
      <c r="F130" s="3"/>
    </row>
    <row r="131" spans="1:6" x14ac:dyDescent="0.25">
      <c r="A131" t="s">
        <v>13</v>
      </c>
      <c r="E131" s="18" t="s">
        <v>2</v>
      </c>
      <c r="F131" s="4" t="s">
        <v>3</v>
      </c>
    </row>
    <row r="132" spans="1:6" x14ac:dyDescent="0.25">
      <c r="A132">
        <v>486000</v>
      </c>
      <c r="B132" t="s">
        <v>276</v>
      </c>
      <c r="C132" s="17"/>
      <c r="D132" s="17"/>
      <c r="E132" s="7">
        <v>400</v>
      </c>
      <c r="F132" s="5"/>
    </row>
    <row r="133" spans="1:6" x14ac:dyDescent="0.25">
      <c r="B133">
        <v>622600</v>
      </c>
      <c r="C133" t="s">
        <v>277</v>
      </c>
      <c r="E133" s="42"/>
      <c r="F133" s="7">
        <v>400</v>
      </c>
    </row>
    <row r="134" spans="1:6" x14ac:dyDescent="0.25">
      <c r="E134" s="7"/>
      <c r="F134" s="7"/>
    </row>
    <row r="135" spans="1:6" x14ac:dyDescent="0.25">
      <c r="A135" t="s">
        <v>280</v>
      </c>
      <c r="E135" s="7"/>
      <c r="F135" s="7"/>
    </row>
    <row r="136" spans="1:6" x14ac:dyDescent="0.25">
      <c r="A136" t="s">
        <v>95</v>
      </c>
      <c r="B136" t="s">
        <v>278</v>
      </c>
      <c r="C136">
        <f>600/3*2</f>
        <v>400</v>
      </c>
    </row>
    <row r="137" spans="1:6" x14ac:dyDescent="0.25">
      <c r="B137" t="s">
        <v>279</v>
      </c>
    </row>
    <row r="140" spans="1:6" x14ac:dyDescent="0.25">
      <c r="A140" s="13" t="s">
        <v>281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9"/>
  <sheetViews>
    <sheetView topLeftCell="A36" zoomScale="68" workbookViewId="0">
      <selection activeCell="G11" sqref="G11"/>
    </sheetView>
  </sheetViews>
  <sheetFormatPr baseColWidth="10" defaultRowHeight="15" x14ac:dyDescent="0.25"/>
  <cols>
    <col min="4" max="4" width="11.85546875" bestFit="1" customWidth="1"/>
  </cols>
  <sheetData>
    <row r="2" spans="1:7" x14ac:dyDescent="0.25">
      <c r="A2" s="14" t="s">
        <v>319</v>
      </c>
    </row>
    <row r="3" spans="1:7" x14ac:dyDescent="0.25">
      <c r="A3" s="20" t="s">
        <v>282</v>
      </c>
    </row>
    <row r="4" spans="1:7" x14ac:dyDescent="0.25">
      <c r="A4" s="20" t="s">
        <v>285</v>
      </c>
    </row>
    <row r="5" spans="1:7" x14ac:dyDescent="0.25">
      <c r="A5" s="20" t="s">
        <v>284</v>
      </c>
    </row>
    <row r="6" spans="1:7" x14ac:dyDescent="0.25">
      <c r="A6" s="20" t="s">
        <v>283</v>
      </c>
      <c r="G6" s="20" t="s">
        <v>22</v>
      </c>
    </row>
    <row r="7" spans="1:7" x14ac:dyDescent="0.25">
      <c r="A7" s="20" t="s">
        <v>296</v>
      </c>
      <c r="G7" s="20"/>
    </row>
    <row r="8" spans="1:7" x14ac:dyDescent="0.25">
      <c r="A8" s="20"/>
      <c r="G8" s="20"/>
    </row>
    <row r="9" spans="1:7" x14ac:dyDescent="0.25">
      <c r="A9" s="20"/>
      <c r="G9" s="20"/>
    </row>
    <row r="10" spans="1:7" x14ac:dyDescent="0.25">
      <c r="A10" s="39" t="s">
        <v>297</v>
      </c>
      <c r="G10" s="20"/>
    </row>
    <row r="12" spans="1:7" x14ac:dyDescent="0.25">
      <c r="A12" s="13" t="s">
        <v>33</v>
      </c>
    </row>
    <row r="13" spans="1:7" x14ac:dyDescent="0.25">
      <c r="A13" s="13"/>
    </row>
    <row r="14" spans="1:7" x14ac:dyDescent="0.25">
      <c r="A14" s="14" t="s">
        <v>19</v>
      </c>
    </row>
    <row r="18" spans="1:17" x14ac:dyDescent="0.25">
      <c r="K18" s="20" t="s">
        <v>25</v>
      </c>
      <c r="L18" s="20"/>
      <c r="M18" s="20"/>
      <c r="N18" s="20"/>
      <c r="O18" s="20"/>
      <c r="P18" s="20"/>
      <c r="Q18" s="20"/>
    </row>
    <row r="19" spans="1:17" x14ac:dyDescent="0.25">
      <c r="K19" s="20" t="s">
        <v>26</v>
      </c>
      <c r="L19" s="20"/>
      <c r="M19" s="20"/>
      <c r="N19" s="20"/>
      <c r="O19" s="20"/>
      <c r="P19" s="20"/>
      <c r="Q19" s="20"/>
    </row>
    <row r="20" spans="1:17" x14ac:dyDescent="0.25">
      <c r="K20" s="20" t="s">
        <v>27</v>
      </c>
      <c r="L20" s="20"/>
      <c r="M20" s="20"/>
      <c r="N20" s="20"/>
      <c r="O20" s="20"/>
      <c r="P20" s="20"/>
      <c r="Q20" s="20"/>
    </row>
    <row r="21" spans="1:17" x14ac:dyDescent="0.25">
      <c r="K21" s="20" t="s">
        <v>28</v>
      </c>
      <c r="L21" s="20"/>
      <c r="M21" s="20"/>
      <c r="N21" s="20"/>
      <c r="O21" s="20"/>
      <c r="P21" s="20"/>
      <c r="Q21" s="20"/>
    </row>
    <row r="22" spans="1:17" x14ac:dyDescent="0.25">
      <c r="K22" s="20" t="s">
        <v>29</v>
      </c>
      <c r="L22" s="20"/>
      <c r="M22" s="20"/>
      <c r="N22" s="20"/>
      <c r="O22" s="20"/>
      <c r="P22" s="20"/>
      <c r="Q22" s="20"/>
    </row>
    <row r="23" spans="1:17" x14ac:dyDescent="0.25">
      <c r="K23" s="20" t="s">
        <v>30</v>
      </c>
      <c r="L23" s="20"/>
      <c r="M23" s="20"/>
      <c r="N23" s="20"/>
      <c r="O23" s="20"/>
      <c r="P23" s="20"/>
      <c r="Q23" s="20"/>
    </row>
    <row r="24" spans="1:17" x14ac:dyDescent="0.25">
      <c r="K24" s="20" t="s">
        <v>31</v>
      </c>
      <c r="L24" s="20"/>
      <c r="M24" s="20"/>
      <c r="N24" s="20"/>
      <c r="O24" s="20"/>
      <c r="P24" s="20"/>
      <c r="Q24" s="20"/>
    </row>
    <row r="25" spans="1:17" x14ac:dyDescent="0.25">
      <c r="K25" s="20" t="s">
        <v>32</v>
      </c>
      <c r="L25" s="20"/>
      <c r="M25" s="20"/>
      <c r="N25" s="20"/>
      <c r="O25" s="20"/>
      <c r="P25" s="20"/>
      <c r="Q25" s="20"/>
    </row>
    <row r="26" spans="1:17" x14ac:dyDescent="0.25">
      <c r="K26" s="20"/>
      <c r="L26" s="20"/>
      <c r="M26" s="20"/>
      <c r="N26" s="20"/>
      <c r="O26" s="20" t="s">
        <v>22</v>
      </c>
      <c r="P26" s="20"/>
      <c r="Q26" s="20"/>
    </row>
    <row r="27" spans="1:17" x14ac:dyDescent="0.25">
      <c r="A27" s="15"/>
    </row>
    <row r="28" spans="1:17" x14ac:dyDescent="0.25">
      <c r="A28" t="s">
        <v>286</v>
      </c>
    </row>
    <row r="29" spans="1:17" x14ac:dyDescent="0.25">
      <c r="A29" t="s">
        <v>20</v>
      </c>
    </row>
    <row r="31" spans="1:17" x14ac:dyDescent="0.25">
      <c r="A31" t="s">
        <v>287</v>
      </c>
    </row>
    <row r="34" spans="1:6" x14ac:dyDescent="0.25">
      <c r="A34" s="13" t="s">
        <v>33</v>
      </c>
    </row>
    <row r="36" spans="1:6" x14ac:dyDescent="0.25">
      <c r="A36" s="14" t="s">
        <v>288</v>
      </c>
    </row>
    <row r="38" spans="1:6" x14ac:dyDescent="0.25">
      <c r="A38" s="20" t="s">
        <v>293</v>
      </c>
    </row>
    <row r="39" spans="1:6" x14ac:dyDescent="0.25">
      <c r="A39" s="20" t="s">
        <v>289</v>
      </c>
    </row>
    <row r="40" spans="1:6" x14ac:dyDescent="0.25">
      <c r="A40" s="20" t="s">
        <v>290</v>
      </c>
    </row>
    <row r="41" spans="1:6" x14ac:dyDescent="0.25">
      <c r="A41" s="20" t="s">
        <v>291</v>
      </c>
    </row>
    <row r="42" spans="1:6" x14ac:dyDescent="0.25">
      <c r="A42" s="20" t="s">
        <v>294</v>
      </c>
    </row>
    <row r="43" spans="1:6" x14ac:dyDescent="0.25">
      <c r="A43" s="20" t="s">
        <v>292</v>
      </c>
    </row>
    <row r="44" spans="1:6" x14ac:dyDescent="0.25">
      <c r="F44" s="20" t="s">
        <v>22</v>
      </c>
    </row>
    <row r="46" spans="1:6" x14ac:dyDescent="0.25">
      <c r="A46" s="39" t="s">
        <v>295</v>
      </c>
    </row>
    <row r="49" spans="1:1" x14ac:dyDescent="0.25">
      <c r="A49" s="13" t="s">
        <v>33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abSelected="1" topLeftCell="A6" zoomScale="103" workbookViewId="0">
      <selection activeCell="A34" sqref="A34"/>
    </sheetView>
  </sheetViews>
  <sheetFormatPr baseColWidth="10" defaultRowHeight="15" x14ac:dyDescent="0.25"/>
  <cols>
    <col min="2" max="2" width="12.85546875" bestFit="1" customWidth="1"/>
  </cols>
  <sheetData>
    <row r="2" spans="1:8" x14ac:dyDescent="0.25">
      <c r="A2" s="16" t="s">
        <v>298</v>
      </c>
    </row>
    <row r="4" spans="1:8" x14ac:dyDescent="0.25">
      <c r="A4" t="s">
        <v>299</v>
      </c>
    </row>
    <row r="6" spans="1:8" x14ac:dyDescent="0.25">
      <c r="A6" t="s">
        <v>300</v>
      </c>
    </row>
    <row r="7" spans="1:8" x14ac:dyDescent="0.25">
      <c r="A7" t="s">
        <v>301</v>
      </c>
    </row>
    <row r="8" spans="1:8" x14ac:dyDescent="0.25">
      <c r="A8" t="s">
        <v>302</v>
      </c>
      <c r="H8" s="20" t="s">
        <v>314</v>
      </c>
    </row>
    <row r="9" spans="1:8" x14ac:dyDescent="0.25">
      <c r="H9" s="20" t="s">
        <v>315</v>
      </c>
    </row>
    <row r="10" spans="1:8" x14ac:dyDescent="0.25">
      <c r="A10" t="s">
        <v>305</v>
      </c>
      <c r="H10" s="20" t="s">
        <v>316</v>
      </c>
    </row>
    <row r="11" spans="1:8" x14ac:dyDescent="0.25">
      <c r="A11" t="s">
        <v>306</v>
      </c>
      <c r="H11" s="20" t="s">
        <v>317</v>
      </c>
    </row>
    <row r="12" spans="1:8" x14ac:dyDescent="0.25">
      <c r="A12" t="s">
        <v>307</v>
      </c>
    </row>
    <row r="14" spans="1:8" x14ac:dyDescent="0.25">
      <c r="A14" t="s">
        <v>308</v>
      </c>
    </row>
    <row r="15" spans="1:8" x14ac:dyDescent="0.25">
      <c r="A15" t="s">
        <v>364</v>
      </c>
    </row>
    <row r="17" spans="1:6" x14ac:dyDescent="0.25">
      <c r="A17" t="s">
        <v>303</v>
      </c>
    </row>
    <row r="18" spans="1:6" x14ac:dyDescent="0.25">
      <c r="A18" s="9" t="s">
        <v>304</v>
      </c>
      <c r="B18" s="43">
        <f>42500*15%</f>
        <v>6375</v>
      </c>
      <c r="C18" t="s">
        <v>365</v>
      </c>
    </row>
    <row r="19" spans="1:6" x14ac:dyDescent="0.25">
      <c r="A19" s="44" t="s">
        <v>309</v>
      </c>
      <c r="B19" s="43">
        <f>+(161300-42500)*25%</f>
        <v>29700</v>
      </c>
      <c r="C19" t="s">
        <v>366</v>
      </c>
    </row>
    <row r="20" spans="1:6" x14ac:dyDescent="0.25">
      <c r="A20" s="9" t="s">
        <v>5</v>
      </c>
      <c r="B20" s="43">
        <f>B19+B18</f>
        <v>36075</v>
      </c>
      <c r="F20" s="47"/>
    </row>
    <row r="21" spans="1:6" x14ac:dyDescent="0.25">
      <c r="A21" s="9" t="s">
        <v>310</v>
      </c>
      <c r="B21" s="45">
        <f>B20/4</f>
        <v>9018.75</v>
      </c>
      <c r="C21" t="s">
        <v>311</v>
      </c>
    </row>
    <row r="23" spans="1:6" x14ac:dyDescent="0.25">
      <c r="A23" t="s">
        <v>367</v>
      </c>
    </row>
    <row r="25" spans="1:6" x14ac:dyDescent="0.25">
      <c r="A25" t="s">
        <v>312</v>
      </c>
    </row>
    <row r="26" spans="1:6" x14ac:dyDescent="0.25">
      <c r="A26" s="9" t="s">
        <v>304</v>
      </c>
      <c r="B26" s="43">
        <f>42500*15%</f>
        <v>6375</v>
      </c>
    </row>
    <row r="27" spans="1:6" x14ac:dyDescent="0.25">
      <c r="A27" s="44" t="s">
        <v>309</v>
      </c>
      <c r="B27" s="43">
        <f>+(216500-42500)*25%</f>
        <v>43500</v>
      </c>
    </row>
    <row r="28" spans="1:6" x14ac:dyDescent="0.25">
      <c r="A28" s="9" t="s">
        <v>5</v>
      </c>
      <c r="B28" s="43">
        <f>B27+B26</f>
        <v>49875</v>
      </c>
      <c r="D28" t="s">
        <v>318</v>
      </c>
    </row>
    <row r="29" spans="1:6" x14ac:dyDescent="0.25">
      <c r="A29" s="9" t="s">
        <v>310</v>
      </c>
      <c r="B29" s="45">
        <f>B28/4</f>
        <v>12468.75</v>
      </c>
    </row>
    <row r="31" spans="1:6" x14ac:dyDescent="0.25">
      <c r="A31" t="s">
        <v>313</v>
      </c>
    </row>
    <row r="32" spans="1:6" x14ac:dyDescent="0.25">
      <c r="A32" s="23" t="s">
        <v>368</v>
      </c>
    </row>
    <row r="33" spans="1:1" x14ac:dyDescent="0.25">
      <c r="A33" s="46">
        <f>B29+B29-B21</f>
        <v>15918.75</v>
      </c>
    </row>
    <row r="35" spans="1:1" x14ac:dyDescent="0.25">
      <c r="A35" s="1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Mission 1A</vt:lpstr>
      <vt:lpstr>Mission 1B</vt:lpstr>
      <vt:lpstr>Mission 2A</vt:lpstr>
      <vt:lpstr>Mission 2B</vt:lpstr>
      <vt:lpstr>Mission 2C</vt:lpstr>
      <vt:lpstr>Mission 3A</vt:lpstr>
      <vt:lpstr>Mission 4A</vt:lpstr>
      <vt:lpstr>Mission 4B</vt:lpstr>
    </vt:vector>
  </TitlesOfParts>
  <Company>U.B.O. - D.S.I.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munier</dc:creator>
  <cp:lastModifiedBy>munier</cp:lastModifiedBy>
  <dcterms:created xsi:type="dcterms:W3CDTF">2024-05-16T19:17:07Z</dcterms:created>
  <dcterms:modified xsi:type="dcterms:W3CDTF">2024-06-13T16:06:22Z</dcterms:modified>
</cp:coreProperties>
</file>